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Clientes 2015\CRECHE BN\"/>
    </mc:Choice>
  </mc:AlternateContent>
  <bookViews>
    <workbookView xWindow="0" yWindow="0" windowWidth="19200" windowHeight="8235"/>
  </bookViews>
  <sheets>
    <sheet name="ORÇAMENTO" sheetId="2" r:id="rId1"/>
    <sheet name="CRONOGRAMA" sheetId="1" r:id="rId2"/>
  </sheets>
  <definedNames>
    <definedName name="_xlnm.Print_Area" localSheetId="0">ORÇAMENTO!$A$1:$G$87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2" l="1"/>
  <c r="G72" i="2"/>
  <c r="G73" i="2"/>
  <c r="G74" i="2"/>
  <c r="G75" i="2"/>
  <c r="G76" i="2"/>
  <c r="F71" i="2"/>
  <c r="F72" i="2"/>
  <c r="F73" i="2"/>
  <c r="F74" i="2"/>
  <c r="F75" i="2"/>
  <c r="F76" i="2"/>
  <c r="G66" i="2"/>
  <c r="G67" i="2"/>
  <c r="F66" i="2"/>
  <c r="F67" i="2"/>
  <c r="G59" i="2"/>
  <c r="G60" i="2"/>
  <c r="G61" i="2"/>
  <c r="G62" i="2"/>
  <c r="F59" i="2"/>
  <c r="F60" i="2"/>
  <c r="F61" i="2"/>
  <c r="F62" i="2"/>
  <c r="G48" i="2"/>
  <c r="G49" i="2"/>
  <c r="G50" i="2"/>
  <c r="G51" i="2"/>
  <c r="G52" i="2"/>
  <c r="G53" i="2"/>
  <c r="G54" i="2"/>
  <c r="G55" i="2"/>
  <c r="F48" i="2"/>
  <c r="F49" i="2"/>
  <c r="F50" i="2"/>
  <c r="F51" i="2"/>
  <c r="F52" i="2"/>
  <c r="F53" i="2"/>
  <c r="F54" i="2"/>
  <c r="F55" i="2"/>
  <c r="G39" i="2"/>
  <c r="G40" i="2"/>
  <c r="G41" i="2"/>
  <c r="G42" i="2"/>
  <c r="G43" i="2"/>
  <c r="G44" i="2"/>
  <c r="F39" i="2"/>
  <c r="F40" i="2"/>
  <c r="F41" i="2"/>
  <c r="F42" i="2"/>
  <c r="F43" i="2"/>
  <c r="F44" i="2"/>
  <c r="G33" i="2"/>
  <c r="G34" i="2"/>
  <c r="G35" i="2"/>
  <c r="F33" i="2"/>
  <c r="F34" i="2"/>
  <c r="F35" i="2"/>
  <c r="G7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7" i="2"/>
  <c r="F6" i="2" l="1"/>
  <c r="G6" i="2" s="1"/>
  <c r="D18" i="2" l="1"/>
  <c r="B15" i="1" l="1"/>
  <c r="B14" i="1"/>
  <c r="B13" i="1"/>
  <c r="B12" i="1"/>
  <c r="B11" i="1"/>
  <c r="B10" i="1"/>
  <c r="B9" i="1"/>
  <c r="B8" i="1"/>
  <c r="B7" i="1"/>
  <c r="O15" i="1"/>
  <c r="O14" i="1"/>
  <c r="O13" i="1"/>
  <c r="O12" i="1"/>
  <c r="O11" i="1"/>
  <c r="O10" i="1"/>
  <c r="O9" i="1"/>
  <c r="O8" i="1"/>
  <c r="O7" i="1"/>
  <c r="O6" i="1"/>
  <c r="F79" i="2"/>
  <c r="G79" i="2" s="1"/>
  <c r="G80" i="2" s="1"/>
  <c r="C15" i="1" s="1"/>
  <c r="D15" i="1" s="1"/>
  <c r="F70" i="2"/>
  <c r="G70" i="2" s="1"/>
  <c r="G77" i="2" s="1"/>
  <c r="C14" i="1" s="1"/>
  <c r="D14" i="1" s="1"/>
  <c r="F14" i="1" s="1"/>
  <c r="E67" i="2"/>
  <c r="E66" i="2"/>
  <c r="F65" i="2"/>
  <c r="G65" i="2" s="1"/>
  <c r="F58" i="2"/>
  <c r="G58" i="2" s="1"/>
  <c r="D54" i="2"/>
  <c r="D53" i="2"/>
  <c r="D52" i="2"/>
  <c r="D51" i="2"/>
  <c r="D50" i="2"/>
  <c r="D49" i="2"/>
  <c r="D48" i="2"/>
  <c r="F47" i="2"/>
  <c r="G47" i="2" s="1"/>
  <c r="Q42" i="2"/>
  <c r="O42" i="2"/>
  <c r="M42" i="2"/>
  <c r="K42" i="2"/>
  <c r="E42" i="2"/>
  <c r="S41" i="2"/>
  <c r="D41" i="2" s="1"/>
  <c r="Q41" i="2"/>
  <c r="O41" i="2"/>
  <c r="M41" i="2"/>
  <c r="K41" i="2"/>
  <c r="E41" i="2"/>
  <c r="K40" i="2"/>
  <c r="D40" i="2" s="1"/>
  <c r="E40" i="2"/>
  <c r="S39" i="2"/>
  <c r="Q39" i="2"/>
  <c r="O39" i="2"/>
  <c r="M39" i="2"/>
  <c r="K39" i="2"/>
  <c r="D39" i="2" s="1"/>
  <c r="E39" i="2"/>
  <c r="U38" i="2"/>
  <c r="S38" i="2"/>
  <c r="Q38" i="2"/>
  <c r="O38" i="2"/>
  <c r="M38" i="2"/>
  <c r="K38" i="2"/>
  <c r="D38" i="2" s="1"/>
  <c r="F38" i="2"/>
  <c r="E38" i="2"/>
  <c r="D35" i="2"/>
  <c r="D34" i="2"/>
  <c r="D33" i="2"/>
  <c r="F32" i="2"/>
  <c r="G32" i="2" s="1"/>
  <c r="F29" i="2"/>
  <c r="G29" i="2" s="1"/>
  <c r="G30" i="2" s="1"/>
  <c r="C8" i="1" s="1"/>
  <c r="D8" i="1" s="1"/>
  <c r="F8" i="1" s="1"/>
  <c r="D26" i="2"/>
  <c r="D25" i="2"/>
  <c r="D24" i="2"/>
  <c r="D23" i="2"/>
  <c r="D22" i="2"/>
  <c r="D20" i="2"/>
  <c r="D19" i="2"/>
  <c r="D17" i="2"/>
  <c r="E13" i="2"/>
  <c r="F10" i="2"/>
  <c r="G10" i="2" s="1"/>
  <c r="G68" i="2" l="1"/>
  <c r="C13" i="1" s="1"/>
  <c r="D13" i="1" s="1"/>
  <c r="H13" i="1" s="1"/>
  <c r="G27" i="2"/>
  <c r="C7" i="1" s="1"/>
  <c r="D7" i="1" s="1"/>
  <c r="H7" i="1" s="1"/>
  <c r="D42" i="2"/>
  <c r="G38" i="2"/>
  <c r="C6" i="1"/>
  <c r="D6" i="1" s="1"/>
  <c r="F6" i="1" s="1"/>
  <c r="G8" i="2"/>
  <c r="L15" i="1"/>
  <c r="H15" i="1"/>
  <c r="J15" i="1"/>
  <c r="F15" i="1"/>
  <c r="L8" i="1"/>
  <c r="H8" i="1"/>
  <c r="J8" i="1"/>
  <c r="L14" i="1"/>
  <c r="H14" i="1"/>
  <c r="J14" i="1"/>
  <c r="G63" i="2"/>
  <c r="C12" i="1" s="1"/>
  <c r="D12" i="1" s="1"/>
  <c r="F12" i="1" s="1"/>
  <c r="F13" i="1" l="1"/>
  <c r="J13" i="1"/>
  <c r="N13" i="1" s="1"/>
  <c r="L13" i="1"/>
  <c r="G56" i="2"/>
  <c r="C11" i="1" s="1"/>
  <c r="D11" i="1" s="1"/>
  <c r="G36" i="2"/>
  <c r="C9" i="1" s="1"/>
  <c r="D9" i="1" s="1"/>
  <c r="H9" i="1" s="1"/>
  <c r="J6" i="1"/>
  <c r="G45" i="2"/>
  <c r="C10" i="1" s="1"/>
  <c r="D10" i="1" s="1"/>
  <c r="F10" i="1" s="1"/>
  <c r="L11" i="1"/>
  <c r="F11" i="1"/>
  <c r="H11" i="1"/>
  <c r="J11" i="1"/>
  <c r="H6" i="1"/>
  <c r="L6" i="1"/>
  <c r="N6" i="1" s="1"/>
  <c r="L9" i="1"/>
  <c r="F9" i="1"/>
  <c r="J9" i="1"/>
  <c r="L12" i="1"/>
  <c r="J12" i="1"/>
  <c r="H12" i="1"/>
  <c r="L10" i="1"/>
  <c r="F7" i="1"/>
  <c r="J7" i="1"/>
  <c r="L7" i="1"/>
  <c r="N14" i="1"/>
  <c r="N8" i="1"/>
  <c r="N15" i="1"/>
  <c r="C16" i="1" l="1"/>
  <c r="N7" i="1"/>
  <c r="N11" i="1"/>
  <c r="H10" i="1"/>
  <c r="N9" i="1"/>
  <c r="G82" i="2"/>
  <c r="J10" i="1"/>
  <c r="J16" i="1" s="1"/>
  <c r="D16" i="1"/>
  <c r="E6" i="1" s="1"/>
  <c r="N12" i="1"/>
  <c r="F16" i="1"/>
  <c r="F17" i="1" s="1"/>
  <c r="G16" i="1" s="1"/>
  <c r="G17" i="1" s="1"/>
  <c r="L16" i="1"/>
  <c r="E10" i="1"/>
  <c r="E9" i="1" l="1"/>
  <c r="E12" i="1"/>
  <c r="E7" i="1"/>
  <c r="M16" i="1"/>
  <c r="K16" i="1"/>
  <c r="E13" i="1"/>
  <c r="E14" i="1"/>
  <c r="E8" i="1"/>
  <c r="E15" i="1"/>
  <c r="N10" i="1"/>
  <c r="N16" i="1" s="1"/>
  <c r="H16" i="1"/>
  <c r="I16" i="1" s="1"/>
  <c r="I17" i="1" s="1"/>
  <c r="K17" i="1" s="1"/>
  <c r="E11" i="1"/>
  <c r="H17" i="1"/>
  <c r="J17" i="1" s="1"/>
  <c r="L17" i="1" s="1"/>
  <c r="M17" i="1" l="1"/>
  <c r="E16" i="1"/>
</calcChain>
</file>

<file path=xl/sharedStrings.xml><?xml version="1.0" encoding="utf-8"?>
<sst xmlns="http://schemas.openxmlformats.org/spreadsheetml/2006/main" count="313" uniqueCount="230">
  <si>
    <t>C15.10.05.05.010</t>
  </si>
  <si>
    <t>ITEM</t>
  </si>
  <si>
    <t>DESCRIÇÃO</t>
  </si>
  <si>
    <t>UNIDADE</t>
  </si>
  <si>
    <t>QUANTIDADE</t>
  </si>
  <si>
    <t>R$ UNIT.C/BDI</t>
  </si>
  <si>
    <t>R$ TOTAL C/BDI</t>
  </si>
  <si>
    <t>M2</t>
  </si>
  <si>
    <t>R$ UNIT.S/BDI</t>
  </si>
  <si>
    <t>BDI</t>
  </si>
  <si>
    <t>C15.05.05.10.010</t>
  </si>
  <si>
    <t>C15.05.05.05.005</t>
  </si>
  <si>
    <t>Reparos em cobertura de telha cerâmica 16un/m², considerar no quantitativo área total da cobertura (reparo em 20% da área efetiva)</t>
  </si>
  <si>
    <t>C15.05.05.45.005</t>
  </si>
  <si>
    <t>C16.25.05.66.030</t>
  </si>
  <si>
    <t xml:space="preserve">M  </t>
  </si>
  <si>
    <t>Reparo grelha fofo p/ canaleta 18 x 300 x 1000mm (40%)</t>
  </si>
  <si>
    <t>M</t>
  </si>
  <si>
    <t>Reparo grelha solário (40%)</t>
  </si>
  <si>
    <t>Lavagem do telhado</t>
  </si>
  <si>
    <t>Instalação de T de inspeção das colunas pluviais</t>
  </si>
  <si>
    <t>unid.</t>
  </si>
  <si>
    <t>Placa de obra metálica com estrutura em madeira</t>
  </si>
  <si>
    <t>C16.25.10.76.005</t>
  </si>
  <si>
    <t>Impermeabilização de superfície com manta asfáltica protegida com filme de alumínio gofrado (espessura 0,8mm), inclusa aplicação de emulsão asfáltica (calha de concreto)</t>
  </si>
  <si>
    <t>Cobogo de concreto (elemento vazado), 6x29x29cm, assentado com argamassa traço 1:7 (cimento e areia)</t>
  </si>
  <si>
    <t>C20.05.15.15.011</t>
  </si>
  <si>
    <t>Demolição de alvenaria de concreto sem reaproveitamento (cobogo)</t>
  </si>
  <si>
    <t>73937/004</t>
  </si>
  <si>
    <t>Divisórias de banheiros e sanitários em granito com espessura de 2cm polido</t>
  </si>
  <si>
    <t>C10.32.20.10.013</t>
  </si>
  <si>
    <t>C16.25.05.66.015</t>
  </si>
  <si>
    <t>Reparo calha metálica contínua sanitários</t>
  </si>
  <si>
    <t>Bancada em granito cinza andorinha espessura 2cm conforme projeto</t>
  </si>
  <si>
    <t>Lactário</t>
  </si>
  <si>
    <t>Lavanderia</t>
  </si>
  <si>
    <t>Cozinha</t>
  </si>
  <si>
    <t>Carga/Descarga</t>
  </si>
  <si>
    <t>Banho Creche I</t>
  </si>
  <si>
    <t>Bwc M/F</t>
  </si>
  <si>
    <t>Pratileira em granito cinza andorinha espessura 2cm conforme projeto</t>
  </si>
  <si>
    <t>Pratileira em mármore branco espessura 2cm conforme projeto</t>
  </si>
  <si>
    <t>Despensa</t>
  </si>
  <si>
    <t>DML</t>
  </si>
  <si>
    <t>Creche II</t>
  </si>
  <si>
    <t>Creche III</t>
  </si>
  <si>
    <t>Pré Escola</t>
  </si>
  <si>
    <t>Lavatório em granito cinza andorinha espessura 2cm conforme projeto</t>
  </si>
  <si>
    <t>Higienização</t>
  </si>
  <si>
    <t>Creche I</t>
  </si>
  <si>
    <t>Banco em granito cinza andorinha espessura 2cm conforme projeto</t>
  </si>
  <si>
    <t>C16.50.05.001.026</t>
  </si>
  <si>
    <t>C16.50.05.002.005</t>
  </si>
  <si>
    <t>Retirada de divisórias de banheiros, bancadas, lavatórios e pratileiras em pedra arósia</t>
  </si>
  <si>
    <t>Colocação de escaninho no sanitário masculino, femenino, lactário</t>
  </si>
  <si>
    <t>C10.82.10.01.007</t>
  </si>
  <si>
    <t>Demolição de alvenaria para refazer coluna de água</t>
  </si>
  <si>
    <t>C20.05.15.15.010</t>
  </si>
  <si>
    <t>M3</t>
  </si>
  <si>
    <t>C16.05.15.25.010</t>
  </si>
  <si>
    <t>C16.05.10.94.010</t>
  </si>
  <si>
    <t>C16.05.10.84.005</t>
  </si>
  <si>
    <t>C16.05.10.20.010</t>
  </si>
  <si>
    <t>C16.05.10.10.010</t>
  </si>
  <si>
    <t>C16.05.10.56.010</t>
  </si>
  <si>
    <t>C16.10.05.66.020</t>
  </si>
  <si>
    <t>pontos</t>
  </si>
  <si>
    <t>Refazer cerâmica parede nas colunas de água com argamassa ACII e rejunte de acordo com projeto</t>
  </si>
  <si>
    <t>C10.48.10.05.010</t>
  </si>
  <si>
    <t>Coluna água nova com registro e acabamento de acordo com projeto</t>
  </si>
  <si>
    <t>Fechaduras nas portas externas</t>
  </si>
  <si>
    <t>C10.60.45.10.010</t>
  </si>
  <si>
    <t>C16.25.05.85.005</t>
  </si>
  <si>
    <t>C16.25.15.15.013</t>
  </si>
  <si>
    <t>C16.25.10.62.010</t>
  </si>
  <si>
    <t>C16.25.10.38.015</t>
  </si>
  <si>
    <t>Demolição de alvenaria para refazer coluna de ventilação</t>
  </si>
  <si>
    <t>Envelopamento de tubulação elétrica com gesso acartonado no depósito</t>
  </si>
  <si>
    <t>Selador acrílico 1 demão nas paredes dos dois lados e laje</t>
  </si>
  <si>
    <t>C10.80.10.05.007</t>
  </si>
  <si>
    <t>C10.80.10.05.015</t>
  </si>
  <si>
    <t>Massa acrílica 2 demãos nas paredes e lajes com reparo no reboco</t>
  </si>
  <si>
    <t>C10.80.10.05.045</t>
  </si>
  <si>
    <t>C10.84.40.05.005</t>
  </si>
  <si>
    <t>Central de gás de acordo com projeto</t>
  </si>
  <si>
    <t>m</t>
  </si>
  <si>
    <t>Tubo AOGO 1/2"para gás com conexões</t>
  </si>
  <si>
    <t>C16.10.15.05.005</t>
  </si>
  <si>
    <t>Extintor PQS 4kg</t>
  </si>
  <si>
    <t>C16.35.05.35.010</t>
  </si>
  <si>
    <t>Extintor CO2 4kg</t>
  </si>
  <si>
    <t>C16.35.05.30.005</t>
  </si>
  <si>
    <t>C10.44.05.15.035</t>
  </si>
  <si>
    <t>Bloco de iluminação de emergência autônoma PL 9W autonomia de 2,5hs</t>
  </si>
  <si>
    <t>Bloco de iluminação de emergência autônoma 2x55W com bateria, autonomia de 3 horas.</t>
  </si>
  <si>
    <t>C10.44.05.15.030</t>
  </si>
  <si>
    <t>C10.44.05.15.025</t>
  </si>
  <si>
    <t>Placa de sinalização de emergência</t>
  </si>
  <si>
    <t>Demolição de contrapiso para passagem tubulação gás</t>
  </si>
  <si>
    <t>C20.05.15.05.015</t>
  </si>
  <si>
    <t>C10.56.25.05.006</t>
  </si>
  <si>
    <t>SERVIÇOS INICIAIS</t>
  </si>
  <si>
    <t>TOTAL</t>
  </si>
  <si>
    <t>DEMOLIÇÃO E REPAROS</t>
  </si>
  <si>
    <t>1.1</t>
  </si>
  <si>
    <t>TOTAL 1</t>
  </si>
  <si>
    <t>2.1</t>
  </si>
  <si>
    <t>2.3</t>
  </si>
  <si>
    <t>2.2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</si>
  <si>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</si>
  <si>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</si>
  <si>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</si>
  <si>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</si>
  <si>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</si>
  <si>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</si>
  <si>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</si>
  <si>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</si>
  <si>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</si>
  <si>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TOTAL 2</t>
  </si>
  <si>
    <t xml:space="preserve">IMPERMEABILIZAÇÃO   </t>
  </si>
  <si>
    <t>3.1</t>
  </si>
  <si>
    <t>6.1</t>
  </si>
  <si>
    <t>TOTAL 3</t>
  </si>
  <si>
    <t>ALVENARIA</t>
  </si>
  <si>
    <t>TOTAL 4</t>
  </si>
  <si>
    <t>MOBILIÁRIO</t>
  </si>
  <si>
    <t>4.1</t>
  </si>
  <si>
    <t>7.4</t>
  </si>
  <si>
    <t>6.3</t>
  </si>
  <si>
    <t>7.2</t>
  </si>
  <si>
    <t>4.2</t>
  </si>
  <si>
    <t>5.1</t>
  </si>
  <si>
    <t>5.4</t>
  </si>
  <si>
    <t>5.3</t>
  </si>
  <si>
    <t>5.7</t>
  </si>
  <si>
    <t>5.2</t>
  </si>
  <si>
    <t>5.5</t>
  </si>
  <si>
    <t>5.6</t>
  </si>
  <si>
    <t>4.3</t>
  </si>
  <si>
    <t>TOTAL 5</t>
  </si>
  <si>
    <t>REVESTIMENTO/ PINTURA</t>
  </si>
  <si>
    <t>TOTAL 6</t>
  </si>
  <si>
    <t>INSTALAÇÃO HIDROSANITÁRIA</t>
  </si>
  <si>
    <t>7.1</t>
  </si>
  <si>
    <t>7.3</t>
  </si>
  <si>
    <t>6.2</t>
  </si>
  <si>
    <t>9.6</t>
  </si>
  <si>
    <t>6.4</t>
  </si>
  <si>
    <t>6.5</t>
  </si>
  <si>
    <t>TOTAL 7</t>
  </si>
  <si>
    <t>Fechamento com vidro temperado 1,80x1,60cm parede (banho)</t>
  </si>
  <si>
    <t>C10.70.05.10.021</t>
  </si>
  <si>
    <t>C10.52.20.12.005</t>
  </si>
  <si>
    <t>Roda meio em madeira (l:10cm) em itaúba</t>
  </si>
  <si>
    <t>C10.56.75.05.010</t>
  </si>
  <si>
    <t>Tinta esmalte sintético brilhante ou semi-brilho p/ ferro 2 demãos janelas</t>
  </si>
  <si>
    <t>C10.80.15.05.010</t>
  </si>
  <si>
    <t>INSTALAÇÃO ELÉTRICA</t>
  </si>
  <si>
    <t>Entrada de energia de acordo com aprovação Celesc</t>
  </si>
  <si>
    <t>C21.35.05.50.057</t>
  </si>
  <si>
    <t>Switch 24P 10/100/100 Mbps 19"</t>
  </si>
  <si>
    <t>C21.35.05.50.005</t>
  </si>
  <si>
    <t>Patch panel 24 posições - fornecimento e instalação</t>
  </si>
  <si>
    <t>73768/004</t>
  </si>
  <si>
    <t>Cabo telefônico CI 50 - 20pares</t>
  </si>
  <si>
    <t>C21.35.05.10.010</t>
  </si>
  <si>
    <t>Cabo de rede Cat.6 trançado não blindado 4 pares</t>
  </si>
  <si>
    <t>Tinta acrílica semi-brilho 2 demãos ou até perfeito acabamento nas paredes dos dois lados, laje, vigas solarium e pergolado</t>
  </si>
  <si>
    <t xml:space="preserve">Refazer piso em granilite (cozinha, sanit.masc.e fem.,banho creche I,sanitário creche II, administração, almoxarifado, multiuso e informática)  </t>
  </si>
  <si>
    <t>Reparo em esquadrias ferro com folga</t>
  </si>
  <si>
    <t>C15.05.05.50.013</t>
  </si>
  <si>
    <t>Reparo em lavatórios</t>
  </si>
  <si>
    <t>Reparo em torneiras</t>
  </si>
  <si>
    <t>C15.05.05.31.035</t>
  </si>
  <si>
    <t>Reparo em registros</t>
  </si>
  <si>
    <t>C15.05.05.31.075</t>
  </si>
  <si>
    <t>C15.05.05.45.010</t>
  </si>
  <si>
    <t>2.13</t>
  </si>
  <si>
    <t>2.14</t>
  </si>
  <si>
    <t>2.15</t>
  </si>
  <si>
    <t>2.16</t>
  </si>
  <si>
    <t>2.17</t>
  </si>
  <si>
    <t>4.4</t>
  </si>
  <si>
    <t>6.6</t>
  </si>
  <si>
    <t>6.7</t>
  </si>
  <si>
    <t>6.8</t>
  </si>
  <si>
    <t>6.9</t>
  </si>
  <si>
    <t>Tinta esmalte sintético brilhante ou semi-brilho p/ madeira 2 demãos esquadrias, madeiramento pátio coberto e roda meio</t>
  </si>
  <si>
    <t>7.5</t>
  </si>
  <si>
    <t>8.1</t>
  </si>
  <si>
    <t>8.2</t>
  </si>
  <si>
    <t>8.3</t>
  </si>
  <si>
    <t>TOTAL 8</t>
  </si>
  <si>
    <t>9.1</t>
  </si>
  <si>
    <t>9.2</t>
  </si>
  <si>
    <t>9.3</t>
  </si>
  <si>
    <t>9.4</t>
  </si>
  <si>
    <t>9.5</t>
  </si>
  <si>
    <t>9.7</t>
  </si>
  <si>
    <t>SERVIÇOS FINAIS</t>
  </si>
  <si>
    <t>Limpeza de obra</t>
  </si>
  <si>
    <t>10.1</t>
  </si>
  <si>
    <t>TOTAL 9</t>
  </si>
  <si>
    <t>TOTAL 10</t>
  </si>
  <si>
    <t>TOTAL GERAL</t>
  </si>
  <si>
    <t>Objeto:</t>
  </si>
  <si>
    <t>Adequação de Creche Tipo C Padrão FNDE - Benedito Novo - SC</t>
  </si>
  <si>
    <t>ORÇAMENTO ESTIMATIVO</t>
  </si>
  <si>
    <t>Códigos IPUJJ/SINAPI</t>
  </si>
  <si>
    <t>DISCRIMINAÇÃO DOS SERVIÇOS</t>
  </si>
  <si>
    <t>TOTAL DA OBRA</t>
  </si>
  <si>
    <t>VALOR</t>
  </si>
  <si>
    <t>%</t>
  </si>
  <si>
    <t>30 DIAS</t>
  </si>
  <si>
    <t>60 DIAS</t>
  </si>
  <si>
    <t>90 DIAS</t>
  </si>
  <si>
    <t>120 DIAS</t>
  </si>
  <si>
    <t>R$</t>
  </si>
  <si>
    <t>1.2</t>
  </si>
  <si>
    <t>Despesas iniciais</t>
  </si>
  <si>
    <t>vb</t>
  </si>
  <si>
    <t>Reparo em reboco de paredes e lajes e estruturas (humidade, fissuras e trincas), considerar no quantitativo área total de parede e laje (reparo em 20% da área efetiva)</t>
  </si>
  <si>
    <t>Reparo em azulejo e piso padrão médio, assentado sobre argamassa colante pré-fabricada e rejunte, considerar no quantitativo área total de revestimento (reparo em 20% da área efetiva )</t>
  </si>
  <si>
    <t>Refazer cerâmica parede nas colunas de ventilação com argamassa ACII e rejunte de acordo com projeto</t>
  </si>
  <si>
    <t>Coluna nova de ventilação de acordo com projeto</t>
  </si>
  <si>
    <t>PREVENTIVO CONTRA INCÊNDIO</t>
  </si>
  <si>
    <t>ENG.CIVIL MOACYR CRISTOFOLINI JÚNIOR</t>
  </si>
  <si>
    <t>CREA-SC 072054-1</t>
  </si>
  <si>
    <t>Reparos em estrutura de madeira apoiada em laje ou alvenaria, considerar no quantitativo área total da estrutura (reparo em 30% da área efetiva)</t>
  </si>
  <si>
    <t>74033/001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</si>
</sst>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R$&quot;#,##0.00"/>
    <numFmt numFmtId="165" formatCode="_(* #,##0.00_);_(* \(#,##0.00\);_(* &quot;-&quot;??_);_(@_)"/>
    <numFmt numFmtId="166" formatCode="&quot;R$ &quot;#,##0.000"/>
    <numFmt numFmtId="167" formatCode="_(&quot;R$&quot;* #,##0.00_);_(&quot;R$&quot;* \(#,##0.00\);_(&quot;R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6"/>
      <name val="Arial"/>
      <family val="2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72">
    <xf numFmtId="0" fontId="0" fillId="0" borderId="0" xfId="0"/>
    <xf numFmtId="10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1" xfId="0" applyFont="1" applyBorder="1" applyAlignment="1">
      <alignment horizontal="right"/>
    </xf>
    <xf numFmtId="0" fontId="0" fillId="0" borderId="1" xfId="0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2" fontId="0" fillId="0" borderId="0" xfId="0" applyNumberFormat="1" applyAlignment="1">
      <alignment horizontal="left"/>
    </xf>
    <xf numFmtId="2" fontId="2" fillId="0" borderId="0" xfId="0" applyNumberFormat="1" applyFont="1" applyAlignment="1">
      <alignment horizontal="left"/>
    </xf>
    <xf numFmtId="4" fontId="0" fillId="0" borderId="1" xfId="0" applyNumberFormat="1" applyBorder="1"/>
    <xf numFmtId="0" fontId="4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6" fillId="0" borderId="6" xfId="0" applyFont="1" applyBorder="1"/>
    <xf numFmtId="0" fontId="3" fillId="0" borderId="9" xfId="0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/>
    <xf numFmtId="10" fontId="3" fillId="0" borderId="15" xfId="2" applyNumberFormat="1" applyFont="1" applyBorder="1" applyAlignment="1">
      <alignment horizontal="right"/>
    </xf>
    <xf numFmtId="43" fontId="9" fillId="0" borderId="16" xfId="1" applyFont="1" applyBorder="1" applyAlignment="1">
      <alignment horizontal="center"/>
    </xf>
    <xf numFmtId="9" fontId="9" fillId="0" borderId="17" xfId="2" applyNumberFormat="1" applyFont="1" applyBorder="1" applyAlignment="1">
      <alignment horizontal="center"/>
    </xf>
    <xf numFmtId="43" fontId="9" fillId="0" borderId="18" xfId="1" applyFont="1" applyBorder="1" applyAlignment="1">
      <alignment horizontal="center"/>
    </xf>
    <xf numFmtId="10" fontId="9" fillId="0" borderId="19" xfId="2" applyNumberFormat="1" applyFont="1" applyBorder="1" applyAlignment="1">
      <alignment horizontal="center"/>
    </xf>
    <xf numFmtId="167" fontId="3" fillId="0" borderId="21" xfId="3" applyNumberFormat="1" applyFont="1" applyBorder="1"/>
    <xf numFmtId="9" fontId="9" fillId="0" borderId="22" xfId="2" applyNumberFormat="1" applyFont="1" applyBorder="1" applyAlignment="1">
      <alignment horizontal="center"/>
    </xf>
    <xf numFmtId="43" fontId="3" fillId="0" borderId="20" xfId="1" applyFont="1" applyFill="1" applyBorder="1"/>
    <xf numFmtId="43" fontId="9" fillId="0" borderId="23" xfId="1" applyFont="1" applyBorder="1"/>
    <xf numFmtId="167" fontId="5" fillId="0" borderId="1" xfId="3" applyNumberFormat="1" applyFont="1" applyBorder="1"/>
    <xf numFmtId="10" fontId="5" fillId="0" borderId="1" xfId="2" applyNumberFormat="1" applyFont="1" applyBorder="1" applyAlignment="1">
      <alignment horizontal="center"/>
    </xf>
    <xf numFmtId="165" fontId="5" fillId="0" borderId="1" xfId="2" applyNumberFormat="1" applyFont="1" applyBorder="1" applyAlignment="1">
      <alignment horizontal="center"/>
    </xf>
    <xf numFmtId="9" fontId="5" fillId="0" borderId="26" xfId="2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/>
    <xf numFmtId="43" fontId="9" fillId="0" borderId="29" xfId="1" applyFont="1" applyBorder="1"/>
    <xf numFmtId="167" fontId="5" fillId="0" borderId="30" xfId="3" applyNumberFormat="1" applyFont="1" applyBorder="1"/>
    <xf numFmtId="10" fontId="5" fillId="0" borderId="30" xfId="2" applyNumberFormat="1" applyFont="1" applyBorder="1" applyAlignment="1">
      <alignment horizontal="center"/>
    </xf>
    <xf numFmtId="165" fontId="5" fillId="0" borderId="30" xfId="2" applyNumberFormat="1" applyFont="1" applyBorder="1" applyAlignment="1">
      <alignment horizontal="center"/>
    </xf>
    <xf numFmtId="9" fontId="5" fillId="0" borderId="31" xfId="2" applyNumberFormat="1" applyFont="1" applyBorder="1" applyAlignment="1">
      <alignment horizontal="center"/>
    </xf>
    <xf numFmtId="43" fontId="3" fillId="0" borderId="14" xfId="1" applyFont="1" applyFill="1" applyBorder="1"/>
    <xf numFmtId="0" fontId="11" fillId="0" borderId="25" xfId="0" applyFont="1" applyFill="1" applyBorder="1" applyAlignment="1">
      <alignment horizontal="right"/>
    </xf>
    <xf numFmtId="0" fontId="10" fillId="0" borderId="24" xfId="0" applyFont="1" applyFill="1" applyBorder="1" applyAlignment="1">
      <alignment horizontal="center"/>
    </xf>
    <xf numFmtId="0" fontId="12" fillId="0" borderId="0" xfId="0" applyFont="1"/>
    <xf numFmtId="10" fontId="12" fillId="0" borderId="0" xfId="0" applyNumberFormat="1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/>
    <xf numFmtId="4" fontId="2" fillId="2" borderId="1" xfId="0" applyNumberFormat="1" applyFont="1" applyFill="1" applyBorder="1"/>
    <xf numFmtId="2" fontId="0" fillId="2" borderId="1" xfId="0" applyNumberFormat="1" applyFill="1" applyBorder="1"/>
    <xf numFmtId="4" fontId="0" fillId="2" borderId="1" xfId="0" applyNumberForma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wrapText="1"/>
    </xf>
    <xf numFmtId="4" fontId="13" fillId="2" borderId="1" xfId="0" applyNumberFormat="1" applyFont="1" applyFill="1" applyBorder="1"/>
    <xf numFmtId="4" fontId="14" fillId="2" borderId="1" xfId="0" applyNumberFormat="1" applyFont="1" applyFill="1" applyBorder="1"/>
    <xf numFmtId="0" fontId="15" fillId="0" borderId="0" xfId="0" applyFont="1" applyAlignment="1">
      <alignment horizontal="center" wrapText="1"/>
    </xf>
    <xf numFmtId="0" fontId="15" fillId="0" borderId="3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</cellXfs>
  <cellStyles count="4">
    <cellStyle name="Moeda_Orça.timbó" xfId="3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tabSelected="1" topLeftCell="A50" zoomScaleNormal="100" workbookViewId="0">
      <selection activeCell="F57" sqref="F57"/>
    </sheetView>
  </sheetViews>
  <sheetFormatPr defaultRowHeight="15" x14ac:dyDescent="0.25"/>
  <cols>
    <col min="2" max="2" width="54.85546875" bestFit="1" customWidth="1"/>
    <col min="4" max="4" width="12.85546875" bestFit="1" customWidth="1"/>
    <col min="5" max="6" width="13.5703125" bestFit="1" customWidth="1"/>
    <col min="7" max="7" width="14.7109375" bestFit="1" customWidth="1"/>
    <col min="8" max="8" width="20" bestFit="1" customWidth="1"/>
    <col min="10" max="10" width="12.140625" bestFit="1" customWidth="1"/>
    <col min="12" max="12" width="10.5703125" bestFit="1" customWidth="1"/>
    <col min="16" max="16" width="14.7109375" bestFit="1" customWidth="1"/>
    <col min="18" max="18" width="14.28515625" bestFit="1" customWidth="1"/>
  </cols>
  <sheetData>
    <row r="1" spans="1:11" x14ac:dyDescent="0.25">
      <c r="A1" s="64" t="s">
        <v>207</v>
      </c>
      <c r="B1" s="64"/>
      <c r="C1" s="64"/>
      <c r="D1" s="64"/>
      <c r="E1" s="64"/>
      <c r="F1" s="64"/>
      <c r="G1" s="64"/>
    </row>
    <row r="2" spans="1:11" x14ac:dyDescent="0.25">
      <c r="A2" s="4" t="s">
        <v>205</v>
      </c>
      <c r="B2" s="4" t="s">
        <v>206</v>
      </c>
      <c r="C2" s="5"/>
      <c r="D2" s="5"/>
      <c r="E2" s="5"/>
      <c r="F2" s="5"/>
      <c r="G2" s="5"/>
    </row>
    <row r="3" spans="1:11" x14ac:dyDescent="0.25">
      <c r="A3" s="5"/>
      <c r="B3" s="5"/>
      <c r="C3" s="5"/>
      <c r="D3" s="5"/>
      <c r="E3" s="5"/>
      <c r="F3" s="5"/>
      <c r="G3" s="5"/>
    </row>
    <row r="4" spans="1:11" x14ac:dyDescent="0.25">
      <c r="A4" s="50" t="s">
        <v>1</v>
      </c>
      <c r="B4" s="50" t="s">
        <v>2</v>
      </c>
      <c r="C4" s="50" t="s">
        <v>3</v>
      </c>
      <c r="D4" s="50" t="s">
        <v>4</v>
      </c>
      <c r="E4" s="50" t="s">
        <v>8</v>
      </c>
      <c r="F4" s="50" t="s">
        <v>5</v>
      </c>
      <c r="G4" s="50" t="s">
        <v>6</v>
      </c>
      <c r="H4" t="s">
        <v>208</v>
      </c>
      <c r="J4" s="48" t="s">
        <v>9</v>
      </c>
      <c r="K4" s="49">
        <v>0.25</v>
      </c>
    </row>
    <row r="5" spans="1:11" x14ac:dyDescent="0.25">
      <c r="A5" s="51">
        <v>1</v>
      </c>
      <c r="B5" s="50" t="s">
        <v>101</v>
      </c>
      <c r="C5" s="52"/>
      <c r="D5" s="52"/>
      <c r="E5" s="52"/>
      <c r="F5" s="52"/>
      <c r="G5" s="52"/>
      <c r="K5" s="1"/>
    </row>
    <row r="6" spans="1:11" x14ac:dyDescent="0.25">
      <c r="A6" s="6" t="s">
        <v>104</v>
      </c>
      <c r="B6" s="7" t="s">
        <v>219</v>
      </c>
      <c r="C6" s="5" t="s">
        <v>220</v>
      </c>
      <c r="D6" s="8">
        <v>1</v>
      </c>
      <c r="E6" s="15">
        <v>250</v>
      </c>
      <c r="F6" s="15">
        <f t="shared" ref="F6:F7" si="0">ROUND(E6+(E6*$K$4),2)</f>
        <v>312.5</v>
      </c>
      <c r="G6" s="15">
        <f t="shared" ref="G6:G7" si="1">ROUND(F6*D6,2)</f>
        <v>312.5</v>
      </c>
      <c r="H6" s="11"/>
    </row>
    <row r="7" spans="1:11" x14ac:dyDescent="0.25">
      <c r="A7" s="6" t="s">
        <v>218</v>
      </c>
      <c r="B7" s="7" t="s">
        <v>22</v>
      </c>
      <c r="C7" s="5" t="s">
        <v>7</v>
      </c>
      <c r="D7" s="8">
        <v>1.5</v>
      </c>
      <c r="E7" s="15">
        <v>204.9</v>
      </c>
      <c r="F7" s="15">
        <f t="shared" si="0"/>
        <v>256.13</v>
      </c>
      <c r="G7" s="15">
        <f t="shared" si="1"/>
        <v>384.2</v>
      </c>
      <c r="H7" s="11" t="s">
        <v>10</v>
      </c>
    </row>
    <row r="8" spans="1:11" s="3" customFormat="1" x14ac:dyDescent="0.25">
      <c r="A8" s="51"/>
      <c r="B8" s="53" t="s">
        <v>105</v>
      </c>
      <c r="C8" s="50"/>
      <c r="D8" s="54"/>
      <c r="E8" s="55"/>
      <c r="F8" s="55"/>
      <c r="G8" s="55">
        <f>ROUND(SUM(G6:G7),2)</f>
        <v>696.7</v>
      </c>
      <c r="H8" s="12"/>
    </row>
    <row r="9" spans="1:11" x14ac:dyDescent="0.25">
      <c r="A9" s="51">
        <v>2</v>
      </c>
      <c r="B9" s="53" t="s">
        <v>103</v>
      </c>
      <c r="C9" s="52"/>
      <c r="D9" s="56"/>
      <c r="E9" s="57"/>
      <c r="F9" s="57"/>
      <c r="G9" s="57"/>
      <c r="H9" s="11"/>
    </row>
    <row r="10" spans="1:11" ht="45" x14ac:dyDescent="0.25">
      <c r="A10" s="9" t="s">
        <v>106</v>
      </c>
      <c r="B10" s="7" t="s">
        <v>228</v>
      </c>
      <c r="C10" s="5" t="s">
        <v>7</v>
      </c>
      <c r="D10" s="8">
        <v>595.08000000000004</v>
      </c>
      <c r="E10" s="15">
        <v>17.420000000000002</v>
      </c>
      <c r="F10" s="15">
        <f t="shared" ref="F7:F35" si="2">ROUND(E10+(E10*$K$4),2)</f>
        <v>21.78</v>
      </c>
      <c r="G10" s="15">
        <f t="shared" ref="G10:G26" si="3">ROUND(F10*D10,2)</f>
        <v>12960.84</v>
      </c>
      <c r="H10" s="11" t="s">
        <v>10</v>
      </c>
    </row>
    <row r="11" spans="1:11" ht="45" x14ac:dyDescent="0.25">
      <c r="A11" s="9" t="s">
        <v>108</v>
      </c>
      <c r="B11" s="7" t="s">
        <v>12</v>
      </c>
      <c r="C11" s="5" t="s">
        <v>7</v>
      </c>
      <c r="D11" s="8">
        <v>595.08000000000004</v>
      </c>
      <c r="E11" s="15">
        <v>5.41</v>
      </c>
      <c r="F11" s="15">
        <f t="shared" si="2"/>
        <v>6.76</v>
      </c>
      <c r="G11" s="15">
        <f t="shared" si="3"/>
        <v>4022.74</v>
      </c>
      <c r="H11" s="11" t="s">
        <v>11</v>
      </c>
    </row>
    <row r="12" spans="1:11" x14ac:dyDescent="0.25">
      <c r="A12" s="9" t="s">
        <v>107</v>
      </c>
      <c r="B12" s="7" t="s">
        <v>19</v>
      </c>
      <c r="C12" s="5" t="s">
        <v>7</v>
      </c>
      <c r="D12" s="8">
        <v>595.08000000000004</v>
      </c>
      <c r="E12" s="15">
        <v>9.3800000000000008</v>
      </c>
      <c r="F12" s="15">
        <f t="shared" si="2"/>
        <v>11.73</v>
      </c>
      <c r="G12" s="15">
        <f t="shared" si="3"/>
        <v>6980.29</v>
      </c>
      <c r="H12" s="11" t="s">
        <v>0</v>
      </c>
    </row>
    <row r="13" spans="1:11" x14ac:dyDescent="0.25">
      <c r="A13" s="9" t="s">
        <v>109</v>
      </c>
      <c r="B13" s="7" t="s">
        <v>169</v>
      </c>
      <c r="C13" s="5" t="s">
        <v>7</v>
      </c>
      <c r="D13" s="8">
        <v>132.4</v>
      </c>
      <c r="E13" s="15">
        <f>42.74-13.51</f>
        <v>29.230000000000004</v>
      </c>
      <c r="F13" s="15">
        <f t="shared" si="2"/>
        <v>36.54</v>
      </c>
      <c r="G13" s="15">
        <f t="shared" si="3"/>
        <v>4837.8999999999996</v>
      </c>
      <c r="H13" s="11" t="s">
        <v>170</v>
      </c>
    </row>
    <row r="14" spans="1:11" x14ac:dyDescent="0.25">
      <c r="A14" s="9" t="s">
        <v>110</v>
      </c>
      <c r="B14" s="7" t="s">
        <v>171</v>
      </c>
      <c r="C14" s="5" t="s">
        <v>21</v>
      </c>
      <c r="D14" s="8">
        <v>16</v>
      </c>
      <c r="E14" s="15">
        <v>4.93</v>
      </c>
      <c r="F14" s="15">
        <f t="shared" si="2"/>
        <v>6.16</v>
      </c>
      <c r="G14" s="15">
        <f t="shared" si="3"/>
        <v>98.56</v>
      </c>
      <c r="H14" s="11" t="s">
        <v>170</v>
      </c>
    </row>
    <row r="15" spans="1:11" x14ac:dyDescent="0.25">
      <c r="A15" s="9" t="s">
        <v>111</v>
      </c>
      <c r="B15" s="7" t="s">
        <v>172</v>
      </c>
      <c r="C15" s="5" t="s">
        <v>21</v>
      </c>
      <c r="D15" s="8">
        <v>36</v>
      </c>
      <c r="E15" s="15">
        <v>37.229999999999997</v>
      </c>
      <c r="F15" s="15">
        <f t="shared" si="2"/>
        <v>46.54</v>
      </c>
      <c r="G15" s="15">
        <f t="shared" si="3"/>
        <v>1675.44</v>
      </c>
      <c r="H15" s="11" t="s">
        <v>173</v>
      </c>
    </row>
    <row r="16" spans="1:11" x14ac:dyDescent="0.25">
      <c r="A16" s="9" t="s">
        <v>112</v>
      </c>
      <c r="B16" s="7" t="s">
        <v>174</v>
      </c>
      <c r="C16" s="5" t="s">
        <v>21</v>
      </c>
      <c r="D16" s="8">
        <v>51</v>
      </c>
      <c r="E16" s="15">
        <v>43.82</v>
      </c>
      <c r="F16" s="15">
        <f t="shared" si="2"/>
        <v>54.78</v>
      </c>
      <c r="G16" s="15">
        <f t="shared" si="3"/>
        <v>2793.78</v>
      </c>
      <c r="H16" s="11" t="s">
        <v>175</v>
      </c>
    </row>
    <row r="17" spans="1:8" ht="45" x14ac:dyDescent="0.25">
      <c r="A17" s="9" t="s">
        <v>113</v>
      </c>
      <c r="B17" s="7" t="s">
        <v>221</v>
      </c>
      <c r="C17" s="5" t="s">
        <v>7</v>
      </c>
      <c r="D17" s="8">
        <f>1019.74+33.85+617.89</f>
        <v>1671.48</v>
      </c>
      <c r="E17" s="15">
        <v>2.56</v>
      </c>
      <c r="F17" s="15">
        <f t="shared" si="2"/>
        <v>3.2</v>
      </c>
      <c r="G17" s="15">
        <f t="shared" si="3"/>
        <v>5348.74</v>
      </c>
      <c r="H17" s="11" t="s">
        <v>13</v>
      </c>
    </row>
    <row r="18" spans="1:8" ht="60" x14ac:dyDescent="0.25">
      <c r="A18" s="9" t="s">
        <v>114</v>
      </c>
      <c r="B18" s="7" t="s">
        <v>222</v>
      </c>
      <c r="C18" s="5" t="s">
        <v>7</v>
      </c>
      <c r="D18" s="8">
        <f>493.21+204.94</f>
        <v>698.15</v>
      </c>
      <c r="E18" s="15">
        <v>8.6</v>
      </c>
      <c r="F18" s="15">
        <f t="shared" si="2"/>
        <v>10.75</v>
      </c>
      <c r="G18" s="15">
        <f t="shared" si="3"/>
        <v>7505.11</v>
      </c>
      <c r="H18" s="11" t="s">
        <v>176</v>
      </c>
    </row>
    <row r="19" spans="1:8" x14ac:dyDescent="0.25">
      <c r="A19" s="9" t="s">
        <v>115</v>
      </c>
      <c r="B19" s="7" t="s">
        <v>16</v>
      </c>
      <c r="C19" s="5" t="s">
        <v>15</v>
      </c>
      <c r="D19" s="8">
        <f>23.25*0.4</f>
        <v>9.3000000000000007</v>
      </c>
      <c r="E19" s="15">
        <v>152.63999999999999</v>
      </c>
      <c r="F19" s="15">
        <f t="shared" si="2"/>
        <v>190.8</v>
      </c>
      <c r="G19" s="15">
        <f t="shared" si="3"/>
        <v>1774.44</v>
      </c>
      <c r="H19" s="11" t="s">
        <v>14</v>
      </c>
    </row>
    <row r="20" spans="1:8" x14ac:dyDescent="0.25">
      <c r="A20" s="9" t="s">
        <v>116</v>
      </c>
      <c r="B20" s="7" t="s">
        <v>18</v>
      </c>
      <c r="C20" s="5" t="s">
        <v>17</v>
      </c>
      <c r="D20" s="8">
        <f>13*0.4</f>
        <v>5.2</v>
      </c>
      <c r="E20" s="15">
        <v>152.63999999999999</v>
      </c>
      <c r="F20" s="15">
        <f t="shared" si="2"/>
        <v>190.8</v>
      </c>
      <c r="G20" s="15">
        <f t="shared" si="3"/>
        <v>992.16</v>
      </c>
      <c r="H20" s="11" t="s">
        <v>14</v>
      </c>
    </row>
    <row r="21" spans="1:8" ht="30" x14ac:dyDescent="0.25">
      <c r="A21" s="9" t="s">
        <v>117</v>
      </c>
      <c r="B21" s="7" t="s">
        <v>27</v>
      </c>
      <c r="C21" s="5" t="s">
        <v>7</v>
      </c>
      <c r="D21" s="8">
        <v>48.65</v>
      </c>
      <c r="E21" s="15">
        <v>32.08</v>
      </c>
      <c r="F21" s="15">
        <f t="shared" si="2"/>
        <v>40.1</v>
      </c>
      <c r="G21" s="15">
        <f t="shared" si="3"/>
        <v>1950.87</v>
      </c>
      <c r="H21" s="11" t="s">
        <v>26</v>
      </c>
    </row>
    <row r="22" spans="1:8" x14ac:dyDescent="0.25">
      <c r="A22" s="9" t="s">
        <v>177</v>
      </c>
      <c r="B22" s="7" t="s">
        <v>98</v>
      </c>
      <c r="C22" s="5" t="s">
        <v>7</v>
      </c>
      <c r="D22" s="5">
        <f>13*0.1</f>
        <v>1.3</v>
      </c>
      <c r="E22" s="15">
        <v>33.58</v>
      </c>
      <c r="F22" s="15">
        <f t="shared" si="2"/>
        <v>41.98</v>
      </c>
      <c r="G22" s="15">
        <f t="shared" si="3"/>
        <v>54.57</v>
      </c>
      <c r="H22" s="11" t="s">
        <v>99</v>
      </c>
    </row>
    <row r="23" spans="1:8" ht="30" x14ac:dyDescent="0.25">
      <c r="A23" s="9" t="s">
        <v>178</v>
      </c>
      <c r="B23" s="7" t="s">
        <v>53</v>
      </c>
      <c r="C23" s="5" t="s">
        <v>7</v>
      </c>
      <c r="D23" s="8">
        <f>(((1.04*4)+7)*1.3+((0.8*3)+3)*1.3+((0.8*3)+3)*1.3+((0.8*3)+3)*1.3)+(26.82+24.06+7.22+17.11+7.02)</f>
        <v>117.798</v>
      </c>
      <c r="E23" s="15">
        <v>13.63</v>
      </c>
      <c r="F23" s="15">
        <f t="shared" si="2"/>
        <v>17.04</v>
      </c>
      <c r="G23" s="15">
        <f t="shared" si="3"/>
        <v>2007.28</v>
      </c>
      <c r="H23" s="11">
        <v>72223</v>
      </c>
    </row>
    <row r="24" spans="1:8" x14ac:dyDescent="0.25">
      <c r="A24" s="9" t="s">
        <v>179</v>
      </c>
      <c r="B24" s="7" t="s">
        <v>32</v>
      </c>
      <c r="C24" s="5" t="s">
        <v>17</v>
      </c>
      <c r="D24" s="8">
        <f>1.1+1.65+1.65+1.65+2.25+1.65+2.25+2.25</f>
        <v>14.450000000000001</v>
      </c>
      <c r="E24" s="15">
        <v>42.43</v>
      </c>
      <c r="F24" s="15">
        <f t="shared" si="2"/>
        <v>53.04</v>
      </c>
      <c r="G24" s="15">
        <f t="shared" si="3"/>
        <v>766.43</v>
      </c>
      <c r="H24" s="11" t="s">
        <v>31</v>
      </c>
    </row>
    <row r="25" spans="1:8" x14ac:dyDescent="0.25">
      <c r="A25" s="9" t="s">
        <v>180</v>
      </c>
      <c r="B25" s="7" t="s">
        <v>76</v>
      </c>
      <c r="C25" s="5" t="s">
        <v>58</v>
      </c>
      <c r="D25" s="8">
        <f>(11*(3)*0.3)*0.2</f>
        <v>1.9800000000000002</v>
      </c>
      <c r="E25" s="15">
        <v>32.08</v>
      </c>
      <c r="F25" s="15">
        <f t="shared" si="2"/>
        <v>40.1</v>
      </c>
      <c r="G25" s="15">
        <f t="shared" si="3"/>
        <v>79.400000000000006</v>
      </c>
      <c r="H25" s="11" t="s">
        <v>57</v>
      </c>
    </row>
    <row r="26" spans="1:8" x14ac:dyDescent="0.25">
      <c r="A26" s="9" t="s">
        <v>181</v>
      </c>
      <c r="B26" s="7" t="s">
        <v>56</v>
      </c>
      <c r="C26" s="5" t="s">
        <v>58</v>
      </c>
      <c r="D26" s="8">
        <f>(25*(3+3)*0.3)*0.2</f>
        <v>9</v>
      </c>
      <c r="E26" s="15">
        <v>32.08</v>
      </c>
      <c r="F26" s="15">
        <f t="shared" si="2"/>
        <v>40.1</v>
      </c>
      <c r="G26" s="15">
        <f t="shared" si="3"/>
        <v>360.9</v>
      </c>
      <c r="H26" s="11" t="s">
        <v>57</v>
      </c>
    </row>
    <row r="27" spans="1:8" s="3" customFormat="1" x14ac:dyDescent="0.25">
      <c r="A27" s="51"/>
      <c r="B27" s="53" t="s">
        <v>118</v>
      </c>
      <c r="C27" s="50"/>
      <c r="D27" s="54"/>
      <c r="E27" s="55"/>
      <c r="F27" s="55"/>
      <c r="G27" s="55">
        <f>ROUND(SUM(G10:G26),2)</f>
        <v>54209.45</v>
      </c>
      <c r="H27" s="12"/>
    </row>
    <row r="28" spans="1:8" x14ac:dyDescent="0.25">
      <c r="A28" s="51">
        <v>3</v>
      </c>
      <c r="B28" s="53" t="s">
        <v>119</v>
      </c>
      <c r="C28" s="52"/>
      <c r="D28" s="56"/>
      <c r="E28" s="57"/>
      <c r="F28" s="57"/>
      <c r="G28" s="57"/>
      <c r="H28" s="11"/>
    </row>
    <row r="29" spans="1:8" ht="60" x14ac:dyDescent="0.25">
      <c r="A29" s="9" t="s">
        <v>120</v>
      </c>
      <c r="B29" s="7" t="s">
        <v>24</v>
      </c>
      <c r="C29" s="5" t="s">
        <v>15</v>
      </c>
      <c r="D29" s="8">
        <v>239.33</v>
      </c>
      <c r="E29" s="15">
        <v>25.88</v>
      </c>
      <c r="F29" s="15">
        <f t="shared" si="2"/>
        <v>32.35</v>
      </c>
      <c r="G29" s="15">
        <f t="shared" ref="G29" si="4">ROUND(F29*D29,2)</f>
        <v>7742.33</v>
      </c>
      <c r="H29" s="11" t="s">
        <v>229</v>
      </c>
    </row>
    <row r="30" spans="1:8" s="3" customFormat="1" x14ac:dyDescent="0.25">
      <c r="A30" s="51"/>
      <c r="B30" s="53" t="s">
        <v>122</v>
      </c>
      <c r="C30" s="50"/>
      <c r="D30" s="54"/>
      <c r="E30" s="55"/>
      <c r="F30" s="55"/>
      <c r="G30" s="55">
        <f>SUM(G29)</f>
        <v>7742.33</v>
      </c>
      <c r="H30" s="12"/>
    </row>
    <row r="31" spans="1:8" x14ac:dyDescent="0.25">
      <c r="A31" s="51">
        <v>4</v>
      </c>
      <c r="B31" s="53" t="s">
        <v>123</v>
      </c>
      <c r="C31" s="52"/>
      <c r="D31" s="56"/>
      <c r="E31" s="57"/>
      <c r="F31" s="57"/>
      <c r="G31" s="57"/>
      <c r="H31" s="11"/>
    </row>
    <row r="32" spans="1:8" ht="30" x14ac:dyDescent="0.25">
      <c r="A32" s="9" t="s">
        <v>126</v>
      </c>
      <c r="B32" s="7" t="s">
        <v>25</v>
      </c>
      <c r="C32" s="5" t="s">
        <v>7</v>
      </c>
      <c r="D32" s="8">
        <v>48.65</v>
      </c>
      <c r="E32" s="15">
        <v>111.7</v>
      </c>
      <c r="F32" s="15">
        <f t="shared" si="2"/>
        <v>139.63</v>
      </c>
      <c r="G32" s="15">
        <f t="shared" ref="G32:G35" si="5">ROUND(F32*D32,2)</f>
        <v>6793</v>
      </c>
      <c r="H32" s="11" t="s">
        <v>28</v>
      </c>
    </row>
    <row r="33" spans="1:21" ht="30" x14ac:dyDescent="0.25">
      <c r="A33" s="9" t="s">
        <v>130</v>
      </c>
      <c r="B33" s="7" t="s">
        <v>29</v>
      </c>
      <c r="C33" s="5" t="s">
        <v>7</v>
      </c>
      <c r="D33" s="8">
        <f>((1.04*4)+7)*1.3+((0.8*3)+3)*1.3+((0.8*3)+3)*1.3+((0.8*3)+3)*1.3</f>
        <v>35.568000000000005</v>
      </c>
      <c r="E33" s="15">
        <v>276.07</v>
      </c>
      <c r="F33" s="15">
        <f t="shared" si="2"/>
        <v>345.09</v>
      </c>
      <c r="G33" s="15">
        <f t="shared" si="5"/>
        <v>12274.16</v>
      </c>
      <c r="H33" s="11" t="s">
        <v>30</v>
      </c>
    </row>
    <row r="34" spans="1:21" ht="30" x14ac:dyDescent="0.25">
      <c r="A34" s="9" t="s">
        <v>138</v>
      </c>
      <c r="B34" s="10" t="s">
        <v>77</v>
      </c>
      <c r="C34" s="5" t="s">
        <v>7</v>
      </c>
      <c r="D34" s="5">
        <f>2.55*(0.2+0.2)</f>
        <v>1.02</v>
      </c>
      <c r="E34" s="15">
        <v>63.24</v>
      </c>
      <c r="F34" s="15">
        <f t="shared" si="2"/>
        <v>79.05</v>
      </c>
      <c r="G34" s="15">
        <f t="shared" si="5"/>
        <v>80.63</v>
      </c>
      <c r="H34" s="11" t="s">
        <v>152</v>
      </c>
    </row>
    <row r="35" spans="1:21" ht="30" x14ac:dyDescent="0.25">
      <c r="A35" s="9" t="s">
        <v>182</v>
      </c>
      <c r="B35" s="7" t="s">
        <v>150</v>
      </c>
      <c r="C35" s="5" t="s">
        <v>7</v>
      </c>
      <c r="D35" s="5">
        <f>1.8*1.6</f>
        <v>2.8800000000000003</v>
      </c>
      <c r="E35" s="15">
        <v>230.67</v>
      </c>
      <c r="F35" s="15">
        <f t="shared" si="2"/>
        <v>288.33999999999997</v>
      </c>
      <c r="G35" s="15">
        <f t="shared" si="5"/>
        <v>830.42</v>
      </c>
      <c r="H35" s="11" t="s">
        <v>151</v>
      </c>
    </row>
    <row r="36" spans="1:21" s="3" customFormat="1" x14ac:dyDescent="0.25">
      <c r="A36" s="51"/>
      <c r="B36" s="53" t="s">
        <v>124</v>
      </c>
      <c r="C36" s="50"/>
      <c r="D36" s="54"/>
      <c r="E36" s="55"/>
      <c r="F36" s="55"/>
      <c r="G36" s="55">
        <f>ROUND(SUM(G32:G35),2)</f>
        <v>19978.21</v>
      </c>
      <c r="H36" s="12"/>
    </row>
    <row r="37" spans="1:21" x14ac:dyDescent="0.25">
      <c r="A37" s="51">
        <v>5</v>
      </c>
      <c r="B37" s="53" t="s">
        <v>125</v>
      </c>
      <c r="C37" s="52"/>
      <c r="D37" s="56"/>
      <c r="E37" s="57"/>
      <c r="F37" s="57"/>
      <c r="G37" s="57"/>
      <c r="H37" s="11"/>
    </row>
    <row r="38" spans="1:21" ht="30" x14ac:dyDescent="0.25">
      <c r="A38" s="9" t="s">
        <v>131</v>
      </c>
      <c r="B38" s="7" t="s">
        <v>33</v>
      </c>
      <c r="C38" s="5" t="s">
        <v>7</v>
      </c>
      <c r="D38" s="8">
        <f>ROUND(K38+M38+O38+Q38+S38+U38,2)</f>
        <v>26.82</v>
      </c>
      <c r="E38" s="15">
        <f>ROUND(270.56/0.6,2)</f>
        <v>450.93</v>
      </c>
      <c r="F38" s="15">
        <f t="shared" ref="F38:F44" si="6">ROUND(E38+(E38*$K$4),2)</f>
        <v>563.66</v>
      </c>
      <c r="G38" s="15">
        <f t="shared" ref="G38:G44" si="7">ROUND(F38*D38,2)</f>
        <v>15117.36</v>
      </c>
      <c r="H38" s="11" t="s">
        <v>51</v>
      </c>
      <c r="J38" t="s">
        <v>34</v>
      </c>
      <c r="K38">
        <f>(2.8*0.6)*2+(2.8*0.1)</f>
        <v>3.6399999999999997</v>
      </c>
      <c r="L38" t="s">
        <v>35</v>
      </c>
      <c r="M38">
        <f>(1.4*0.4)+(1.4*0.1)</f>
        <v>0.7</v>
      </c>
      <c r="N38" t="s">
        <v>36</v>
      </c>
      <c r="O38">
        <f>(2.2*0.6*2)+(4.05*0.6*2)+(3.05*0.6*2)+(1.8*0.6)*2+(11.2*0.1)+(0.8+0.8+0.6)*0.5</f>
        <v>15.54</v>
      </c>
      <c r="P38" t="s">
        <v>37</v>
      </c>
      <c r="Q38">
        <f>(1.45*0.6)</f>
        <v>0.87</v>
      </c>
      <c r="R38" t="s">
        <v>38</v>
      </c>
      <c r="S38">
        <f>(2.85+2.25+1.35)*0.6</f>
        <v>3.8699999999999992</v>
      </c>
      <c r="T38" t="s">
        <v>39</v>
      </c>
      <c r="U38">
        <f>(1.1+1.65)*0.8</f>
        <v>2.2000000000000002</v>
      </c>
    </row>
    <row r="39" spans="1:21" ht="30" x14ac:dyDescent="0.25">
      <c r="A39" s="9" t="s">
        <v>135</v>
      </c>
      <c r="B39" s="7" t="s">
        <v>40</v>
      </c>
      <c r="C39" s="5" t="s">
        <v>7</v>
      </c>
      <c r="D39" s="8">
        <f>ROUND(K39+M39+O39+Q39+S39,2)</f>
        <v>24.06</v>
      </c>
      <c r="E39" s="15">
        <f>ROUND(270.56/0.6,2)</f>
        <v>450.93</v>
      </c>
      <c r="F39" s="15">
        <f t="shared" si="6"/>
        <v>563.66</v>
      </c>
      <c r="G39" s="15">
        <f t="shared" si="7"/>
        <v>13561.66</v>
      </c>
      <c r="H39" s="11" t="s">
        <v>51</v>
      </c>
      <c r="J39" t="s">
        <v>43</v>
      </c>
      <c r="K39">
        <f>(1.5+1.1)*7*0.3</f>
        <v>5.46</v>
      </c>
      <c r="L39" t="s">
        <v>36</v>
      </c>
      <c r="M39">
        <f>(1.05*0.65)*4+(1.65*0.4)*6+(0.3*0.3/2)*18</f>
        <v>7.5</v>
      </c>
      <c r="N39" t="s">
        <v>44</v>
      </c>
      <c r="O39">
        <f>(1.65*0.4)*5</f>
        <v>3.3000000000000003</v>
      </c>
      <c r="P39" t="s">
        <v>45</v>
      </c>
      <c r="Q39">
        <f>(2.25*0.4)*5</f>
        <v>4.5</v>
      </c>
      <c r="R39" t="s">
        <v>46</v>
      </c>
      <c r="S39">
        <f>(1.65*0.4)*5</f>
        <v>3.3000000000000003</v>
      </c>
    </row>
    <row r="40" spans="1:21" ht="30" x14ac:dyDescent="0.25">
      <c r="A40" s="9" t="s">
        <v>133</v>
      </c>
      <c r="B40" s="7" t="s">
        <v>41</v>
      </c>
      <c r="C40" s="5" t="s">
        <v>7</v>
      </c>
      <c r="D40" s="8">
        <f>ROUND(K40,2)</f>
        <v>7.22</v>
      </c>
      <c r="E40" s="15">
        <f>ROUND(271.8/0.6,2)</f>
        <v>453</v>
      </c>
      <c r="F40" s="15">
        <f t="shared" si="6"/>
        <v>566.25</v>
      </c>
      <c r="G40" s="15">
        <f t="shared" si="7"/>
        <v>4088.33</v>
      </c>
      <c r="H40" s="11" t="s">
        <v>52</v>
      </c>
      <c r="J40" t="s">
        <v>42</v>
      </c>
      <c r="K40">
        <f>((1.8+0.65+0.9)*7)*0.3+(0.3*0.3/2)*4</f>
        <v>7.214999999999999</v>
      </c>
    </row>
    <row r="41" spans="1:21" ht="30" x14ac:dyDescent="0.25">
      <c r="A41" s="9" t="s">
        <v>132</v>
      </c>
      <c r="B41" s="7" t="s">
        <v>47</v>
      </c>
      <c r="C41" s="5" t="s">
        <v>7</v>
      </c>
      <c r="D41" s="8">
        <f>ROUND(K41+M41+O41+Q41+S41,2)</f>
        <v>17.11</v>
      </c>
      <c r="E41" s="15">
        <f>ROUND(270.56/0.6,2)</f>
        <v>450.93</v>
      </c>
      <c r="F41" s="15">
        <f t="shared" si="6"/>
        <v>563.66</v>
      </c>
      <c r="G41" s="15">
        <f t="shared" si="7"/>
        <v>9644.2199999999993</v>
      </c>
      <c r="H41" s="11" t="s">
        <v>51</v>
      </c>
      <c r="J41" t="s">
        <v>48</v>
      </c>
      <c r="K41">
        <f>0.5*0.5</f>
        <v>0.25</v>
      </c>
      <c r="L41" t="s">
        <v>44</v>
      </c>
      <c r="M41">
        <f>(3.2*0.6)+(0.6*1.1*3)</f>
        <v>3.9</v>
      </c>
      <c r="N41" t="s">
        <v>49</v>
      </c>
      <c r="O41">
        <f>(3.2*0.6)+(0.6*1.1*3)</f>
        <v>3.9</v>
      </c>
      <c r="P41" t="s">
        <v>46</v>
      </c>
      <c r="Q41">
        <f>(4.3*0.6)+(0.6*1.1*3)</f>
        <v>4.5599999999999996</v>
      </c>
      <c r="R41" t="s">
        <v>45</v>
      </c>
      <c r="S41">
        <f>(4.2*0.6)+(0.6*1.1*3)</f>
        <v>4.5</v>
      </c>
    </row>
    <row r="42" spans="1:21" ht="30" x14ac:dyDescent="0.25">
      <c r="A42" s="9" t="s">
        <v>136</v>
      </c>
      <c r="B42" s="7" t="s">
        <v>50</v>
      </c>
      <c r="C42" s="5" t="s">
        <v>7</v>
      </c>
      <c r="D42" s="8">
        <f>ROUND(K42+M42+O42+Q42,2)</f>
        <v>7.02</v>
      </c>
      <c r="E42" s="15">
        <f>ROUND(270.56/0.6,2)</f>
        <v>450.93</v>
      </c>
      <c r="F42" s="15">
        <f t="shared" si="6"/>
        <v>563.66</v>
      </c>
      <c r="G42" s="15">
        <f t="shared" si="7"/>
        <v>3956.89</v>
      </c>
      <c r="H42" s="11" t="s">
        <v>51</v>
      </c>
      <c r="J42" t="s">
        <v>45</v>
      </c>
      <c r="K42">
        <f>(0.4*2.85)+(0.4*0.4*4)</f>
        <v>1.7800000000000002</v>
      </c>
      <c r="L42" t="s">
        <v>44</v>
      </c>
      <c r="M42">
        <f>(0.4*2.25)+(0.4*0.4*4)</f>
        <v>1.54</v>
      </c>
      <c r="N42" t="s">
        <v>49</v>
      </c>
      <c r="O42">
        <f>(1.5*0.8)+(0.4*0.8)*3</f>
        <v>2.16</v>
      </c>
      <c r="P42" t="s">
        <v>46</v>
      </c>
      <c r="Q42">
        <f>(0.4*2.25)+(0.4*0.4*4)</f>
        <v>1.54</v>
      </c>
    </row>
    <row r="43" spans="1:21" ht="30" x14ac:dyDescent="0.25">
      <c r="A43" s="9" t="s">
        <v>137</v>
      </c>
      <c r="B43" s="7" t="s">
        <v>54</v>
      </c>
      <c r="C43" s="5" t="s">
        <v>21</v>
      </c>
      <c r="D43" s="8">
        <v>6</v>
      </c>
      <c r="E43" s="15">
        <v>335.68</v>
      </c>
      <c r="F43" s="15">
        <f t="shared" si="6"/>
        <v>419.6</v>
      </c>
      <c r="G43" s="15">
        <f t="shared" si="7"/>
        <v>2517.6</v>
      </c>
      <c r="H43" s="13" t="s">
        <v>55</v>
      </c>
    </row>
    <row r="44" spans="1:21" x14ac:dyDescent="0.25">
      <c r="A44" s="9" t="s">
        <v>134</v>
      </c>
      <c r="B44" s="7" t="s">
        <v>70</v>
      </c>
      <c r="C44" s="5" t="s">
        <v>21</v>
      </c>
      <c r="D44" s="8">
        <v>22</v>
      </c>
      <c r="E44" s="15">
        <v>69.03</v>
      </c>
      <c r="F44" s="15">
        <f t="shared" si="6"/>
        <v>86.29</v>
      </c>
      <c r="G44" s="15">
        <f t="shared" si="7"/>
        <v>1898.38</v>
      </c>
      <c r="H44" s="11" t="s">
        <v>71</v>
      </c>
    </row>
    <row r="45" spans="1:21" s="3" customFormat="1" x14ac:dyDescent="0.25">
      <c r="A45" s="51"/>
      <c r="B45" s="53" t="s">
        <v>139</v>
      </c>
      <c r="C45" s="50"/>
      <c r="D45" s="54"/>
      <c r="E45" s="55"/>
      <c r="F45" s="55"/>
      <c r="G45" s="55">
        <f>ROUND(SUM(G38:G44),2)</f>
        <v>50784.44</v>
      </c>
      <c r="H45" s="14"/>
    </row>
    <row r="46" spans="1:21" x14ac:dyDescent="0.25">
      <c r="A46" s="51">
        <v>6</v>
      </c>
      <c r="B46" s="53" t="s">
        <v>140</v>
      </c>
      <c r="C46" s="52"/>
      <c r="D46" s="56"/>
      <c r="E46" s="57"/>
      <c r="F46" s="57"/>
      <c r="G46" s="57"/>
      <c r="H46" s="13"/>
    </row>
    <row r="47" spans="1:21" x14ac:dyDescent="0.25">
      <c r="A47" s="9" t="s">
        <v>121</v>
      </c>
      <c r="B47" s="7" t="s">
        <v>153</v>
      </c>
      <c r="C47" s="5" t="s">
        <v>17</v>
      </c>
      <c r="D47" s="5">
        <v>99.45</v>
      </c>
      <c r="E47" s="15">
        <v>24.95</v>
      </c>
      <c r="F47" s="15">
        <f>ROUND(E47+(E47*$K$4),2)</f>
        <v>31.19</v>
      </c>
      <c r="G47" s="15">
        <f>ROUND(F47*D47,2)</f>
        <v>3101.85</v>
      </c>
      <c r="H47" s="11" t="s">
        <v>154</v>
      </c>
    </row>
    <row r="48" spans="1:21" ht="45" x14ac:dyDescent="0.25">
      <c r="A48" s="9" t="s">
        <v>145</v>
      </c>
      <c r="B48" s="7" t="s">
        <v>168</v>
      </c>
      <c r="C48" s="5" t="s">
        <v>7</v>
      </c>
      <c r="D48" s="5">
        <f>(1.3+6.67+9.01+9.11+14.23+16.04+5.69+30.71)</f>
        <v>92.759999999999991</v>
      </c>
      <c r="E48" s="15">
        <v>45.49</v>
      </c>
      <c r="F48" s="15">
        <f t="shared" ref="F48:F55" si="8">ROUND(E48+(E48*$K$4),2)</f>
        <v>56.86</v>
      </c>
      <c r="G48" s="15">
        <f t="shared" ref="G48:G55" si="9">ROUND(F48*D48,2)</f>
        <v>5274.33</v>
      </c>
      <c r="H48" s="11" t="s">
        <v>100</v>
      </c>
    </row>
    <row r="49" spans="1:8" ht="30" x14ac:dyDescent="0.25">
      <c r="A49" s="9" t="s">
        <v>128</v>
      </c>
      <c r="B49" s="7" t="s">
        <v>223</v>
      </c>
      <c r="C49" s="5" t="s">
        <v>7</v>
      </c>
      <c r="D49" s="8">
        <f>(11*(3)*0.3)</f>
        <v>9.9</v>
      </c>
      <c r="E49" s="15">
        <v>58.06</v>
      </c>
      <c r="F49" s="15">
        <f t="shared" si="8"/>
        <v>72.58</v>
      </c>
      <c r="G49" s="15">
        <f t="shared" si="9"/>
        <v>718.54</v>
      </c>
      <c r="H49" s="11" t="s">
        <v>68</v>
      </c>
    </row>
    <row r="50" spans="1:8" ht="30" x14ac:dyDescent="0.25">
      <c r="A50" s="9" t="s">
        <v>147</v>
      </c>
      <c r="B50" s="7" t="s">
        <v>67</v>
      </c>
      <c r="C50" s="5" t="s">
        <v>7</v>
      </c>
      <c r="D50" s="8">
        <f>25*6*0.3</f>
        <v>45</v>
      </c>
      <c r="E50" s="15">
        <v>58.06</v>
      </c>
      <c r="F50" s="15">
        <f t="shared" si="8"/>
        <v>72.58</v>
      </c>
      <c r="G50" s="15">
        <f t="shared" si="9"/>
        <v>3266.1</v>
      </c>
      <c r="H50" s="11" t="s">
        <v>68</v>
      </c>
    </row>
    <row r="51" spans="1:8" ht="30" x14ac:dyDescent="0.25">
      <c r="A51" s="9" t="s">
        <v>148</v>
      </c>
      <c r="B51" s="10" t="s">
        <v>81</v>
      </c>
      <c r="C51" s="5" t="s">
        <v>7</v>
      </c>
      <c r="D51" s="8">
        <f>(1019.74+33.85+617.89)*0.2</f>
        <v>334.29600000000005</v>
      </c>
      <c r="E51" s="15">
        <v>13.59</v>
      </c>
      <c r="F51" s="15">
        <f t="shared" si="8"/>
        <v>16.989999999999998</v>
      </c>
      <c r="G51" s="15">
        <f t="shared" si="9"/>
        <v>5679.69</v>
      </c>
      <c r="H51" s="11" t="s">
        <v>82</v>
      </c>
    </row>
    <row r="52" spans="1:8" x14ac:dyDescent="0.25">
      <c r="A52" s="9" t="s">
        <v>183</v>
      </c>
      <c r="B52" s="10" t="s">
        <v>78</v>
      </c>
      <c r="C52" s="5" t="s">
        <v>7</v>
      </c>
      <c r="D52" s="5">
        <f>1029.62+617.89</f>
        <v>1647.5099999999998</v>
      </c>
      <c r="E52" s="15">
        <v>5.67</v>
      </c>
      <c r="F52" s="15">
        <f t="shared" si="8"/>
        <v>7.09</v>
      </c>
      <c r="G52" s="15">
        <f t="shared" si="9"/>
        <v>11680.85</v>
      </c>
      <c r="H52" s="11" t="s">
        <v>79</v>
      </c>
    </row>
    <row r="53" spans="1:8" ht="45" x14ac:dyDescent="0.25">
      <c r="A53" s="9" t="s">
        <v>184</v>
      </c>
      <c r="B53" s="10" t="s">
        <v>167</v>
      </c>
      <c r="C53" s="5" t="s">
        <v>7</v>
      </c>
      <c r="D53" s="5">
        <f>1029.62+617.89</f>
        <v>1647.5099999999998</v>
      </c>
      <c r="E53" s="15">
        <v>11.91</v>
      </c>
      <c r="F53" s="15">
        <f t="shared" si="8"/>
        <v>14.89</v>
      </c>
      <c r="G53" s="15">
        <f t="shared" si="9"/>
        <v>24531.42</v>
      </c>
      <c r="H53" s="11" t="s">
        <v>80</v>
      </c>
    </row>
    <row r="54" spans="1:8" ht="45" x14ac:dyDescent="0.25">
      <c r="A54" s="9" t="s">
        <v>185</v>
      </c>
      <c r="B54" s="10" t="s">
        <v>187</v>
      </c>
      <c r="C54" s="5" t="s">
        <v>7</v>
      </c>
      <c r="D54" s="5">
        <f>(133.92)+(87.86*1.4)+(99.45*0.1)</f>
        <v>266.86899999999997</v>
      </c>
      <c r="E54" s="15">
        <v>12.53</v>
      </c>
      <c r="F54" s="15">
        <f t="shared" si="8"/>
        <v>15.66</v>
      </c>
      <c r="G54" s="15">
        <f t="shared" si="9"/>
        <v>4179.17</v>
      </c>
      <c r="H54" s="11" t="s">
        <v>80</v>
      </c>
    </row>
    <row r="55" spans="1:8" ht="30" x14ac:dyDescent="0.25">
      <c r="A55" s="9" t="s">
        <v>186</v>
      </c>
      <c r="B55" s="10" t="s">
        <v>155</v>
      </c>
      <c r="C55" s="5" t="s">
        <v>7</v>
      </c>
      <c r="D55" s="5">
        <v>132.4</v>
      </c>
      <c r="E55" s="15">
        <v>13.51</v>
      </c>
      <c r="F55" s="15">
        <f t="shared" si="8"/>
        <v>16.89</v>
      </c>
      <c r="G55" s="15">
        <f t="shared" si="9"/>
        <v>2236.2399999999998</v>
      </c>
      <c r="H55" s="11" t="s">
        <v>156</v>
      </c>
    </row>
    <row r="56" spans="1:8" s="3" customFormat="1" x14ac:dyDescent="0.25">
      <c r="A56" s="51"/>
      <c r="B56" s="53" t="s">
        <v>141</v>
      </c>
      <c r="C56" s="50"/>
      <c r="D56" s="50"/>
      <c r="E56" s="55"/>
      <c r="F56" s="55"/>
      <c r="G56" s="55">
        <f>ROUND(SUM(G47:G55),2)</f>
        <v>60668.19</v>
      </c>
      <c r="H56" s="12"/>
    </row>
    <row r="57" spans="1:8" x14ac:dyDescent="0.25">
      <c r="A57" s="51">
        <v>7</v>
      </c>
      <c r="B57" s="53" t="s">
        <v>157</v>
      </c>
      <c r="C57" s="52"/>
      <c r="D57" s="52"/>
      <c r="E57" s="57"/>
      <c r="F57" s="57"/>
      <c r="G57" s="57"/>
      <c r="H57" s="11"/>
    </row>
    <row r="58" spans="1:8" x14ac:dyDescent="0.25">
      <c r="A58" s="9" t="s">
        <v>143</v>
      </c>
      <c r="B58" s="7" t="s">
        <v>158</v>
      </c>
      <c r="C58" s="5" t="s">
        <v>21</v>
      </c>
      <c r="D58" s="8">
        <v>1</v>
      </c>
      <c r="E58" s="15">
        <v>1035.01</v>
      </c>
      <c r="F58" s="15">
        <f>ROUND(E58+(E58*$K$4),2)</f>
        <v>1293.76</v>
      </c>
      <c r="G58" s="15">
        <f>ROUND(F58*D58,2)</f>
        <v>1293.76</v>
      </c>
      <c r="H58" s="11">
        <v>9540</v>
      </c>
    </row>
    <row r="59" spans="1:8" x14ac:dyDescent="0.25">
      <c r="A59" s="9" t="s">
        <v>129</v>
      </c>
      <c r="B59" s="7" t="s">
        <v>160</v>
      </c>
      <c r="C59" s="5" t="s">
        <v>21</v>
      </c>
      <c r="D59" s="8">
        <v>1</v>
      </c>
      <c r="E59" s="15">
        <v>1266.78</v>
      </c>
      <c r="F59" s="15">
        <f t="shared" ref="F59:F62" si="10">ROUND(E59+(E59*$K$4),2)</f>
        <v>1583.48</v>
      </c>
      <c r="G59" s="15">
        <f t="shared" ref="G59:G62" si="11">ROUND(F59*D59,2)</f>
        <v>1583.48</v>
      </c>
      <c r="H59" s="11" t="s">
        <v>159</v>
      </c>
    </row>
    <row r="60" spans="1:8" x14ac:dyDescent="0.25">
      <c r="A60" s="9" t="s">
        <v>144</v>
      </c>
      <c r="B60" s="7" t="s">
        <v>162</v>
      </c>
      <c r="C60" s="5" t="s">
        <v>21</v>
      </c>
      <c r="D60" s="8">
        <v>1</v>
      </c>
      <c r="E60" s="15">
        <v>916.38</v>
      </c>
      <c r="F60" s="15">
        <f t="shared" si="10"/>
        <v>1145.48</v>
      </c>
      <c r="G60" s="15">
        <f t="shared" si="11"/>
        <v>1145.48</v>
      </c>
      <c r="H60" s="11" t="s">
        <v>161</v>
      </c>
    </row>
    <row r="61" spans="1:8" x14ac:dyDescent="0.25">
      <c r="A61" s="9" t="s">
        <v>127</v>
      </c>
      <c r="B61" s="7" t="s">
        <v>164</v>
      </c>
      <c r="C61" s="5" t="s">
        <v>17</v>
      </c>
      <c r="D61" s="8">
        <v>42</v>
      </c>
      <c r="E61" s="15">
        <v>6.54</v>
      </c>
      <c r="F61" s="15">
        <f t="shared" si="10"/>
        <v>8.18</v>
      </c>
      <c r="G61" s="15">
        <f t="shared" si="11"/>
        <v>343.56</v>
      </c>
      <c r="H61" s="11" t="s">
        <v>163</v>
      </c>
    </row>
    <row r="62" spans="1:8" x14ac:dyDescent="0.25">
      <c r="A62" s="9" t="s">
        <v>188</v>
      </c>
      <c r="B62" s="7" t="s">
        <v>166</v>
      </c>
      <c r="C62" s="5" t="s">
        <v>17</v>
      </c>
      <c r="D62" s="8">
        <v>480</v>
      </c>
      <c r="E62" s="15">
        <v>6.54</v>
      </c>
      <c r="F62" s="15">
        <f t="shared" si="10"/>
        <v>8.18</v>
      </c>
      <c r="G62" s="15">
        <f t="shared" si="11"/>
        <v>3926.4</v>
      </c>
      <c r="H62" s="11" t="s">
        <v>165</v>
      </c>
    </row>
    <row r="63" spans="1:8" s="3" customFormat="1" x14ac:dyDescent="0.25">
      <c r="A63" s="51"/>
      <c r="B63" s="53" t="s">
        <v>149</v>
      </c>
      <c r="C63" s="50"/>
      <c r="D63" s="54"/>
      <c r="E63" s="55"/>
      <c r="F63" s="55"/>
      <c r="G63" s="55">
        <f>ROUND(SUM(G58:G62),2)</f>
        <v>8292.68</v>
      </c>
      <c r="H63" s="12"/>
    </row>
    <row r="64" spans="1:8" x14ac:dyDescent="0.25">
      <c r="A64" s="51">
        <v>8</v>
      </c>
      <c r="B64" s="53" t="s">
        <v>142</v>
      </c>
      <c r="C64" s="52"/>
      <c r="D64" s="52"/>
      <c r="E64" s="57"/>
      <c r="F64" s="57"/>
      <c r="G64" s="57"/>
      <c r="H64" s="11"/>
    </row>
    <row r="65" spans="1:20" x14ac:dyDescent="0.25">
      <c r="A65" s="9" t="s">
        <v>189</v>
      </c>
      <c r="B65" s="7" t="s">
        <v>20</v>
      </c>
      <c r="C65" s="5" t="s">
        <v>21</v>
      </c>
      <c r="D65" s="8">
        <v>7</v>
      </c>
      <c r="E65" s="15">
        <v>27.42</v>
      </c>
      <c r="F65" s="15">
        <f>ROUND(E65+(E65*$K$4),2)</f>
        <v>34.28</v>
      </c>
      <c r="G65" s="15">
        <f>ROUND(F65*D65,2)</f>
        <v>239.96</v>
      </c>
      <c r="H65" s="11" t="s">
        <v>23</v>
      </c>
    </row>
    <row r="66" spans="1:20" ht="30" x14ac:dyDescent="0.25">
      <c r="A66" s="9" t="s">
        <v>190</v>
      </c>
      <c r="B66" s="7" t="s">
        <v>69</v>
      </c>
      <c r="C66" s="5" t="s">
        <v>66</v>
      </c>
      <c r="D66" s="8">
        <v>25</v>
      </c>
      <c r="E66" s="15">
        <f>((5.21)*6+(6.41+6.97+5.02+5.75+4.52)*3+(111.2))</f>
        <v>228.46999999999997</v>
      </c>
      <c r="F66" s="15">
        <f t="shared" ref="F66:F67" si="12">ROUND(E66+(E66*$K$4),2)</f>
        <v>285.58999999999997</v>
      </c>
      <c r="G66" s="15">
        <f t="shared" ref="G66:G67" si="13">ROUND(F66*D66,2)</f>
        <v>7139.75</v>
      </c>
      <c r="H66" s="11" t="s">
        <v>59</v>
      </c>
      <c r="J66" t="s">
        <v>60</v>
      </c>
      <c r="L66" t="s">
        <v>61</v>
      </c>
      <c r="N66" t="s">
        <v>62</v>
      </c>
      <c r="P66" t="s">
        <v>63</v>
      </c>
      <c r="R66" t="s">
        <v>64</v>
      </c>
      <c r="T66" t="s">
        <v>65</v>
      </c>
    </row>
    <row r="67" spans="1:20" x14ac:dyDescent="0.25">
      <c r="A67" s="9" t="s">
        <v>191</v>
      </c>
      <c r="B67" s="7" t="s">
        <v>224</v>
      </c>
      <c r="C67" s="5" t="s">
        <v>21</v>
      </c>
      <c r="D67" s="8">
        <v>11</v>
      </c>
      <c r="E67" s="15">
        <f>(6.73+((19.79)*5)+9.37+20.76)</f>
        <v>135.81</v>
      </c>
      <c r="F67" s="15">
        <f t="shared" si="12"/>
        <v>169.76</v>
      </c>
      <c r="G67" s="15">
        <f t="shared" si="13"/>
        <v>1867.36</v>
      </c>
      <c r="H67" s="11" t="s">
        <v>72</v>
      </c>
      <c r="J67" t="s">
        <v>73</v>
      </c>
      <c r="L67" t="s">
        <v>74</v>
      </c>
      <c r="N67" t="s">
        <v>75</v>
      </c>
    </row>
    <row r="68" spans="1:20" s="3" customFormat="1" x14ac:dyDescent="0.25">
      <c r="A68" s="51"/>
      <c r="B68" s="53" t="s">
        <v>192</v>
      </c>
      <c r="C68" s="50"/>
      <c r="D68" s="54"/>
      <c r="E68" s="55"/>
      <c r="F68" s="55"/>
      <c r="G68" s="55">
        <f>ROUND(SUM(G65:G67),2)</f>
        <v>9247.07</v>
      </c>
      <c r="H68" s="12"/>
    </row>
    <row r="69" spans="1:20" x14ac:dyDescent="0.25">
      <c r="A69" s="51">
        <v>9</v>
      </c>
      <c r="B69" s="53" t="s">
        <v>225</v>
      </c>
      <c r="C69" s="52"/>
      <c r="D69" s="52"/>
      <c r="E69" s="57"/>
      <c r="F69" s="57"/>
      <c r="G69" s="57"/>
      <c r="H69" s="11"/>
    </row>
    <row r="70" spans="1:20" x14ac:dyDescent="0.25">
      <c r="A70" s="9" t="s">
        <v>193</v>
      </c>
      <c r="B70" s="7" t="s">
        <v>84</v>
      </c>
      <c r="C70" s="5" t="s">
        <v>21</v>
      </c>
      <c r="D70" s="5">
        <v>1</v>
      </c>
      <c r="E70" s="15">
        <v>5788.19</v>
      </c>
      <c r="F70" s="15">
        <f t="shared" ref="F70:F76" si="14">ROUND(E70+(E70*$K$4),2)</f>
        <v>7235.24</v>
      </c>
      <c r="G70" s="15">
        <f t="shared" ref="G70:G76" si="15">ROUND(F70*D70,2)</f>
        <v>7235.24</v>
      </c>
      <c r="H70" s="11" t="s">
        <v>83</v>
      </c>
    </row>
    <row r="71" spans="1:20" x14ac:dyDescent="0.25">
      <c r="A71" s="9" t="s">
        <v>194</v>
      </c>
      <c r="B71" s="7" t="s">
        <v>86</v>
      </c>
      <c r="C71" s="5" t="s">
        <v>85</v>
      </c>
      <c r="D71" s="5">
        <v>38</v>
      </c>
      <c r="E71" s="15">
        <v>17.309999999999999</v>
      </c>
      <c r="F71" s="15">
        <f t="shared" si="14"/>
        <v>21.64</v>
      </c>
      <c r="G71" s="15">
        <f t="shared" si="15"/>
        <v>822.32</v>
      </c>
      <c r="H71" s="11" t="s">
        <v>87</v>
      </c>
    </row>
    <row r="72" spans="1:20" x14ac:dyDescent="0.25">
      <c r="A72" s="9" t="s">
        <v>195</v>
      </c>
      <c r="B72" s="7" t="s">
        <v>88</v>
      </c>
      <c r="C72" s="5" t="s">
        <v>21</v>
      </c>
      <c r="D72" s="5">
        <v>4</v>
      </c>
      <c r="E72" s="15">
        <v>102.17</v>
      </c>
      <c r="F72" s="15">
        <f t="shared" si="14"/>
        <v>127.71</v>
      </c>
      <c r="G72" s="15">
        <f t="shared" si="15"/>
        <v>510.84</v>
      </c>
      <c r="H72" s="11" t="s">
        <v>89</v>
      </c>
    </row>
    <row r="73" spans="1:20" x14ac:dyDescent="0.25">
      <c r="A73" s="9" t="s">
        <v>196</v>
      </c>
      <c r="B73" s="7" t="s">
        <v>90</v>
      </c>
      <c r="C73" s="5" t="s">
        <v>21</v>
      </c>
      <c r="D73" s="5">
        <v>1</v>
      </c>
      <c r="E73" s="15">
        <v>310.66000000000003</v>
      </c>
      <c r="F73" s="15">
        <f t="shared" si="14"/>
        <v>388.33</v>
      </c>
      <c r="G73" s="15">
        <f t="shared" si="15"/>
        <v>388.33</v>
      </c>
      <c r="H73" s="11" t="s">
        <v>91</v>
      </c>
    </row>
    <row r="74" spans="1:20" ht="30" x14ac:dyDescent="0.25">
      <c r="A74" s="9" t="s">
        <v>197</v>
      </c>
      <c r="B74" s="7" t="s">
        <v>93</v>
      </c>
      <c r="C74" s="5" t="s">
        <v>21</v>
      </c>
      <c r="D74" s="5">
        <v>15</v>
      </c>
      <c r="E74" s="15">
        <v>68.95</v>
      </c>
      <c r="F74" s="15">
        <f t="shared" si="14"/>
        <v>86.19</v>
      </c>
      <c r="G74" s="15">
        <f t="shared" si="15"/>
        <v>1292.8499999999999</v>
      </c>
      <c r="H74" s="11" t="s">
        <v>92</v>
      </c>
    </row>
    <row r="75" spans="1:20" ht="30" x14ac:dyDescent="0.25">
      <c r="A75" s="9" t="s">
        <v>146</v>
      </c>
      <c r="B75" s="7" t="s">
        <v>94</v>
      </c>
      <c r="C75" s="5" t="s">
        <v>21</v>
      </c>
      <c r="D75" s="5">
        <v>2</v>
      </c>
      <c r="E75" s="15">
        <v>362.31</v>
      </c>
      <c r="F75" s="15">
        <f t="shared" si="14"/>
        <v>452.89</v>
      </c>
      <c r="G75" s="15">
        <f t="shared" si="15"/>
        <v>905.78</v>
      </c>
      <c r="H75" s="11" t="s">
        <v>95</v>
      </c>
    </row>
    <row r="76" spans="1:20" x14ac:dyDescent="0.25">
      <c r="A76" s="9" t="s">
        <v>198</v>
      </c>
      <c r="B76" s="7" t="s">
        <v>97</v>
      </c>
      <c r="C76" s="5" t="s">
        <v>21</v>
      </c>
      <c r="D76" s="5">
        <v>17</v>
      </c>
      <c r="E76" s="15">
        <v>51.94</v>
      </c>
      <c r="F76" s="15">
        <f t="shared" si="14"/>
        <v>64.930000000000007</v>
      </c>
      <c r="G76" s="15">
        <f t="shared" si="15"/>
        <v>1103.81</v>
      </c>
      <c r="H76" s="11" t="s">
        <v>96</v>
      </c>
    </row>
    <row r="77" spans="1:20" s="3" customFormat="1" x14ac:dyDescent="0.25">
      <c r="A77" s="51"/>
      <c r="B77" s="53" t="s">
        <v>202</v>
      </c>
      <c r="C77" s="50"/>
      <c r="D77" s="50"/>
      <c r="E77" s="55"/>
      <c r="F77" s="55"/>
      <c r="G77" s="55">
        <f>ROUND(SUM(G70:G76),2)</f>
        <v>12259.17</v>
      </c>
      <c r="H77" s="12"/>
    </row>
    <row r="78" spans="1:20" x14ac:dyDescent="0.25">
      <c r="A78" s="50">
        <v>10</v>
      </c>
      <c r="B78" s="53" t="s">
        <v>199</v>
      </c>
      <c r="C78" s="52"/>
      <c r="D78" s="52"/>
      <c r="E78" s="57"/>
      <c r="F78" s="57"/>
      <c r="G78" s="57"/>
      <c r="H78" s="11"/>
    </row>
    <row r="79" spans="1:20" x14ac:dyDescent="0.25">
      <c r="A79" s="9" t="s">
        <v>201</v>
      </c>
      <c r="B79" s="7" t="s">
        <v>200</v>
      </c>
      <c r="C79" s="5" t="s">
        <v>7</v>
      </c>
      <c r="D79" s="8">
        <v>564.5</v>
      </c>
      <c r="E79" s="15">
        <v>2.0299999999999998</v>
      </c>
      <c r="F79" s="15">
        <f>ROUND(E79+(E79*$K$4),2)</f>
        <v>2.54</v>
      </c>
      <c r="G79" s="15">
        <f t="shared" ref="G79" si="16">ROUND(F79*D79,2)</f>
        <v>1433.83</v>
      </c>
      <c r="H79" s="11">
        <v>9537</v>
      </c>
    </row>
    <row r="80" spans="1:20" s="3" customFormat="1" x14ac:dyDescent="0.25">
      <c r="A80" s="50"/>
      <c r="B80" s="53" t="s">
        <v>203</v>
      </c>
      <c r="C80" s="50"/>
      <c r="D80" s="50"/>
      <c r="E80" s="55"/>
      <c r="F80" s="55"/>
      <c r="G80" s="55">
        <f>ROUND(SUM(G79),2)</f>
        <v>1433.83</v>
      </c>
    </row>
    <row r="81" spans="1:7" x14ac:dyDescent="0.25">
      <c r="A81" s="5"/>
      <c r="B81" s="7"/>
      <c r="C81" s="5"/>
      <c r="D81" s="5"/>
      <c r="E81" s="15"/>
      <c r="F81" s="15"/>
      <c r="G81" s="15"/>
    </row>
    <row r="82" spans="1:7" ht="15.75" x14ac:dyDescent="0.25">
      <c r="A82" s="58"/>
      <c r="B82" s="59" t="s">
        <v>204</v>
      </c>
      <c r="C82" s="58"/>
      <c r="D82" s="58"/>
      <c r="E82" s="60"/>
      <c r="F82" s="60"/>
      <c r="G82" s="61">
        <f>ROUND(G80+G77+G68+G63+G56+G45+G36+G30+G27+G8,2)</f>
        <v>225312.07</v>
      </c>
    </row>
    <row r="83" spans="1:7" x14ac:dyDescent="0.25">
      <c r="B83" s="2"/>
    </row>
    <row r="84" spans="1:7" x14ac:dyDescent="0.25">
      <c r="B84" s="2"/>
    </row>
    <row r="85" spans="1:7" x14ac:dyDescent="0.25">
      <c r="B85" s="2"/>
    </row>
    <row r="86" spans="1:7" x14ac:dyDescent="0.25">
      <c r="B86" s="63" t="s">
        <v>226</v>
      </c>
    </row>
    <row r="87" spans="1:7" x14ac:dyDescent="0.25">
      <c r="B87" s="62" t="s">
        <v>227</v>
      </c>
    </row>
    <row r="88" spans="1:7" x14ac:dyDescent="0.25">
      <c r="B88" s="2"/>
    </row>
    <row r="89" spans="1:7" x14ac:dyDescent="0.25">
      <c r="B89" s="2"/>
    </row>
    <row r="90" spans="1:7" x14ac:dyDescent="0.25">
      <c r="B90" s="2"/>
    </row>
  </sheetData>
  <mergeCells count="1">
    <mergeCell ref="A1:G1"/>
  </mergeCells>
  <pageMargins left="0.51181102362204722" right="0.51181102362204722" top="0.78740157480314965" bottom="0.78740157480314965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Normal="100" workbookViewId="0">
      <selection activeCell="I19" sqref="I19"/>
    </sheetView>
  </sheetViews>
  <sheetFormatPr defaultRowHeight="15" x14ac:dyDescent="0.25"/>
  <cols>
    <col min="1" max="1" width="10" customWidth="1"/>
    <col min="2" max="2" width="35.5703125" bestFit="1" customWidth="1"/>
    <col min="3" max="3" width="10.42578125" hidden="1" customWidth="1"/>
    <col min="4" max="5" width="13.5703125" bestFit="1" customWidth="1"/>
    <col min="6" max="6" width="14.7109375" bestFit="1" customWidth="1"/>
    <col min="7" max="7" width="6.28515625" bestFit="1" customWidth="1"/>
    <col min="8" max="8" width="11.85546875" bestFit="1" customWidth="1"/>
    <col min="9" max="9" width="6.28515625" bestFit="1" customWidth="1"/>
    <col min="10" max="10" width="11.85546875" bestFit="1" customWidth="1"/>
    <col min="11" max="11" width="6.28515625" bestFit="1" customWidth="1"/>
    <col min="12" max="12" width="11.85546875" bestFit="1" customWidth="1"/>
    <col min="13" max="13" width="7.140625" bestFit="1" customWidth="1"/>
    <col min="14" max="14" width="11.85546875" bestFit="1" customWidth="1"/>
    <col min="15" max="15" width="7" bestFit="1" customWidth="1"/>
    <col min="17" max="17" width="14.28515625" bestFit="1" customWidth="1"/>
  </cols>
  <sheetData>
    <row r="1" spans="1:15" x14ac:dyDescent="0.25">
      <c r="A1" s="64"/>
      <c r="B1" s="64"/>
      <c r="C1" s="64"/>
      <c r="D1" s="64"/>
      <c r="E1" s="64"/>
      <c r="F1" s="64"/>
    </row>
    <row r="2" spans="1:15" x14ac:dyDescent="0.25">
      <c r="A2" s="4" t="s">
        <v>205</v>
      </c>
      <c r="B2" s="4" t="s">
        <v>206</v>
      </c>
      <c r="C2" s="5"/>
      <c r="D2" s="5"/>
      <c r="E2" s="5"/>
      <c r="F2" s="5"/>
    </row>
    <row r="3" spans="1:15" ht="15.75" thickBot="1" x14ac:dyDescent="0.3">
      <c r="A3" s="5"/>
      <c r="B3" s="5"/>
      <c r="C3" s="5"/>
      <c r="D3" s="5"/>
      <c r="E3" s="5"/>
      <c r="F3" s="5"/>
    </row>
    <row r="4" spans="1:15" x14ac:dyDescent="0.25">
      <c r="A4" s="66" t="s">
        <v>1</v>
      </c>
      <c r="B4" s="68" t="s">
        <v>209</v>
      </c>
      <c r="C4" s="16" t="s">
        <v>210</v>
      </c>
      <c r="D4" s="17" t="s">
        <v>211</v>
      </c>
      <c r="E4" s="70" t="s">
        <v>212</v>
      </c>
      <c r="F4" s="65" t="s">
        <v>213</v>
      </c>
      <c r="G4" s="65"/>
      <c r="H4" s="65" t="s">
        <v>214</v>
      </c>
      <c r="I4" s="65"/>
      <c r="J4" s="65" t="s">
        <v>215</v>
      </c>
      <c r="K4" s="65"/>
      <c r="L4" s="65" t="s">
        <v>216</v>
      </c>
      <c r="M4" s="65"/>
      <c r="N4" s="17" t="s">
        <v>102</v>
      </c>
      <c r="O4" s="18"/>
    </row>
    <row r="5" spans="1:15" ht="15.75" thickBot="1" x14ac:dyDescent="0.3">
      <c r="A5" s="67"/>
      <c r="B5" s="69"/>
      <c r="C5" s="19" t="s">
        <v>217</v>
      </c>
      <c r="D5" s="20" t="s">
        <v>102</v>
      </c>
      <c r="E5" s="71"/>
      <c r="F5" s="20" t="s">
        <v>217</v>
      </c>
      <c r="G5" s="21" t="s">
        <v>212</v>
      </c>
      <c r="H5" s="20" t="s">
        <v>217</v>
      </c>
      <c r="I5" s="21" t="s">
        <v>212</v>
      </c>
      <c r="J5" s="20" t="s">
        <v>217</v>
      </c>
      <c r="K5" s="21" t="s">
        <v>212</v>
      </c>
      <c r="L5" s="20" t="s">
        <v>217</v>
      </c>
      <c r="M5" s="21" t="s">
        <v>212</v>
      </c>
      <c r="N5" s="20" t="s">
        <v>217</v>
      </c>
      <c r="O5" s="22" t="s">
        <v>212</v>
      </c>
    </row>
    <row r="6" spans="1:15" ht="15.75" thickTop="1" x14ac:dyDescent="0.25">
      <c r="A6" s="23">
        <v>1</v>
      </c>
      <c r="B6" s="24" t="s">
        <v>101</v>
      </c>
      <c r="C6" s="45">
        <f>ORÇAMENTO!G8</f>
        <v>696.7</v>
      </c>
      <c r="D6" s="30">
        <f t="shared" ref="D6:D15" si="0">C6</f>
        <v>696.7</v>
      </c>
      <c r="E6" s="25">
        <f>D6/$D$16</f>
        <v>3.0921556932125296E-3</v>
      </c>
      <c r="F6" s="26">
        <f>G6*D6</f>
        <v>696.7</v>
      </c>
      <c r="G6" s="27">
        <v>1</v>
      </c>
      <c r="H6" s="26">
        <f>I6*D6</f>
        <v>0</v>
      </c>
      <c r="I6" s="27"/>
      <c r="J6" s="26">
        <f>K6*D6</f>
        <v>0</v>
      </c>
      <c r="K6" s="27"/>
      <c r="L6" s="26">
        <f>M6*D6</f>
        <v>0</v>
      </c>
      <c r="M6" s="27"/>
      <c r="N6" s="28">
        <f>L6+J6+H6+F6</f>
        <v>696.7</v>
      </c>
      <c r="O6" s="29">
        <f>M6+K6+I6+G6</f>
        <v>1</v>
      </c>
    </row>
    <row r="7" spans="1:15" x14ac:dyDescent="0.25">
      <c r="A7" s="23">
        <v>2</v>
      </c>
      <c r="B7" s="24" t="str">
        <f>ORÇAMENTO!B9</f>
        <v>DEMOLIÇÃO E REPAROS</v>
      </c>
      <c r="C7" s="32">
        <f>ORÇAMENTO!G27</f>
        <v>54209.45</v>
      </c>
      <c r="D7" s="30">
        <f t="shared" si="0"/>
        <v>54209.45</v>
      </c>
      <c r="E7" s="25">
        <f t="shared" ref="E7:E15" si="1">D7/$D$16</f>
        <v>0.24059718593859616</v>
      </c>
      <c r="F7" s="26">
        <f t="shared" ref="F7:F15" si="2">G7*D7</f>
        <v>21683.78</v>
      </c>
      <c r="G7" s="31">
        <v>0.4</v>
      </c>
      <c r="H7" s="26">
        <f t="shared" ref="H7:H15" si="3">I7*D7</f>
        <v>32525.67</v>
      </c>
      <c r="I7" s="31">
        <v>0.6</v>
      </c>
      <c r="J7" s="26">
        <f t="shared" ref="J7:J15" si="4">K7*D7</f>
        <v>0</v>
      </c>
      <c r="K7" s="31"/>
      <c r="L7" s="26">
        <f t="shared" ref="L7:L15" si="5">M7*D7</f>
        <v>0</v>
      </c>
      <c r="M7" s="31"/>
      <c r="N7" s="28">
        <f t="shared" ref="N7:O15" si="6">L7+J7+H7+F7</f>
        <v>54209.45</v>
      </c>
      <c r="O7" s="29">
        <f t="shared" si="6"/>
        <v>1</v>
      </c>
    </row>
    <row r="8" spans="1:15" x14ac:dyDescent="0.25">
      <c r="A8" s="23">
        <v>3</v>
      </c>
      <c r="B8" s="24" t="str">
        <f>ORÇAMENTO!B28</f>
        <v xml:space="preserve">IMPERMEABILIZAÇÃO   </v>
      </c>
      <c r="C8" s="32">
        <f>ORÇAMENTO!G30</f>
        <v>7742.33</v>
      </c>
      <c r="D8" s="30">
        <f t="shared" si="0"/>
        <v>7742.33</v>
      </c>
      <c r="E8" s="25">
        <f t="shared" si="1"/>
        <v>3.4362695260844213E-2</v>
      </c>
      <c r="F8" s="26">
        <f t="shared" si="2"/>
        <v>4645.3980000000001</v>
      </c>
      <c r="G8" s="31">
        <v>0.6</v>
      </c>
      <c r="H8" s="26">
        <f t="shared" si="3"/>
        <v>3096.9320000000002</v>
      </c>
      <c r="I8" s="31">
        <v>0.4</v>
      </c>
      <c r="J8" s="26">
        <f t="shared" si="4"/>
        <v>0</v>
      </c>
      <c r="K8" s="31"/>
      <c r="L8" s="26">
        <f t="shared" si="5"/>
        <v>0</v>
      </c>
      <c r="M8" s="31"/>
      <c r="N8" s="28">
        <f t="shared" si="6"/>
        <v>7742.33</v>
      </c>
      <c r="O8" s="29">
        <f t="shared" si="6"/>
        <v>1</v>
      </c>
    </row>
    <row r="9" spans="1:15" x14ac:dyDescent="0.25">
      <c r="A9" s="23">
        <v>4</v>
      </c>
      <c r="B9" s="24" t="str">
        <f>ORÇAMENTO!B31</f>
        <v>ALVENARIA</v>
      </c>
      <c r="C9" s="32">
        <f>ORÇAMENTO!G36</f>
        <v>19978.21</v>
      </c>
      <c r="D9" s="30">
        <f t="shared" si="0"/>
        <v>19978.21</v>
      </c>
      <c r="E9" s="25">
        <f t="shared" si="1"/>
        <v>8.8669062425284176E-2</v>
      </c>
      <c r="F9" s="26">
        <f t="shared" si="2"/>
        <v>0</v>
      </c>
      <c r="G9" s="31"/>
      <c r="H9" s="26">
        <f t="shared" si="3"/>
        <v>15982.567999999999</v>
      </c>
      <c r="I9" s="31">
        <v>0.8</v>
      </c>
      <c r="J9" s="26">
        <f t="shared" si="4"/>
        <v>3995.6419999999998</v>
      </c>
      <c r="K9" s="31">
        <v>0.2</v>
      </c>
      <c r="L9" s="26">
        <f t="shared" si="5"/>
        <v>0</v>
      </c>
      <c r="M9" s="31"/>
      <c r="N9" s="28">
        <f t="shared" si="6"/>
        <v>19978.21</v>
      </c>
      <c r="O9" s="29">
        <f t="shared" si="6"/>
        <v>1</v>
      </c>
    </row>
    <row r="10" spans="1:15" x14ac:dyDescent="0.25">
      <c r="A10" s="23">
        <v>5</v>
      </c>
      <c r="B10" s="24" t="str">
        <f>ORÇAMENTO!B37</f>
        <v>MOBILIÁRIO</v>
      </c>
      <c r="C10" s="32">
        <f>ORÇAMENTO!G45</f>
        <v>50784.44</v>
      </c>
      <c r="D10" s="30">
        <f t="shared" si="0"/>
        <v>50784.44</v>
      </c>
      <c r="E10" s="25">
        <f t="shared" si="1"/>
        <v>0.22539600297489612</v>
      </c>
      <c r="F10" s="26">
        <f t="shared" si="2"/>
        <v>0</v>
      </c>
      <c r="G10" s="31"/>
      <c r="H10" s="26">
        <f t="shared" si="3"/>
        <v>0</v>
      </c>
      <c r="I10" s="31"/>
      <c r="J10" s="26">
        <f t="shared" si="4"/>
        <v>5078.4440000000004</v>
      </c>
      <c r="K10" s="31">
        <v>0.1</v>
      </c>
      <c r="L10" s="26">
        <f t="shared" si="5"/>
        <v>45705.996000000006</v>
      </c>
      <c r="M10" s="31">
        <v>0.9</v>
      </c>
      <c r="N10" s="28">
        <f t="shared" si="6"/>
        <v>50784.44000000001</v>
      </c>
      <c r="O10" s="29">
        <f t="shared" si="6"/>
        <v>1</v>
      </c>
    </row>
    <row r="11" spans="1:15" x14ac:dyDescent="0.25">
      <c r="A11" s="23">
        <v>6</v>
      </c>
      <c r="B11" s="24" t="str">
        <f>ORÇAMENTO!B46</f>
        <v>REVESTIMENTO/ PINTURA</v>
      </c>
      <c r="C11" s="32">
        <f>ORÇAMENTO!G56</f>
        <v>60668.19</v>
      </c>
      <c r="D11" s="30">
        <f t="shared" si="0"/>
        <v>60668.19</v>
      </c>
      <c r="E11" s="25">
        <f t="shared" si="1"/>
        <v>0.26926293828821513</v>
      </c>
      <c r="F11" s="26">
        <f t="shared" si="2"/>
        <v>0</v>
      </c>
      <c r="G11" s="31"/>
      <c r="H11" s="26">
        <f t="shared" si="3"/>
        <v>0</v>
      </c>
      <c r="I11" s="31"/>
      <c r="J11" s="26">
        <f t="shared" si="4"/>
        <v>54601.371000000006</v>
      </c>
      <c r="K11" s="31">
        <v>0.9</v>
      </c>
      <c r="L11" s="26">
        <f t="shared" si="5"/>
        <v>6066.8190000000004</v>
      </c>
      <c r="M11" s="31">
        <v>0.1</v>
      </c>
      <c r="N11" s="28">
        <f t="shared" si="6"/>
        <v>60668.19000000001</v>
      </c>
      <c r="O11" s="29">
        <f t="shared" si="6"/>
        <v>1</v>
      </c>
    </row>
    <row r="12" spans="1:15" x14ac:dyDescent="0.25">
      <c r="A12" s="23">
        <v>7</v>
      </c>
      <c r="B12" s="24" t="str">
        <f>ORÇAMENTO!B57</f>
        <v>INSTALAÇÃO ELÉTRICA</v>
      </c>
      <c r="C12" s="32">
        <f>ORÇAMENTO!G63</f>
        <v>8292.68</v>
      </c>
      <c r="D12" s="30">
        <f t="shared" si="0"/>
        <v>8292.68</v>
      </c>
      <c r="E12" s="25">
        <f t="shared" si="1"/>
        <v>3.6805307412070734E-2</v>
      </c>
      <c r="F12" s="26">
        <f t="shared" si="2"/>
        <v>0</v>
      </c>
      <c r="G12" s="31"/>
      <c r="H12" s="26">
        <f t="shared" si="3"/>
        <v>6634.1440000000002</v>
      </c>
      <c r="I12" s="31">
        <v>0.8</v>
      </c>
      <c r="J12" s="26">
        <f t="shared" si="4"/>
        <v>1658.5360000000001</v>
      </c>
      <c r="K12" s="31">
        <v>0.2</v>
      </c>
      <c r="L12" s="26">
        <f t="shared" si="5"/>
        <v>0</v>
      </c>
      <c r="M12" s="31"/>
      <c r="N12" s="28">
        <f t="shared" si="6"/>
        <v>8292.68</v>
      </c>
      <c r="O12" s="29">
        <f t="shared" si="6"/>
        <v>1</v>
      </c>
    </row>
    <row r="13" spans="1:15" x14ac:dyDescent="0.25">
      <c r="A13" s="23">
        <v>8</v>
      </c>
      <c r="B13" s="24" t="str">
        <f>ORÇAMENTO!B64</f>
        <v>INSTALAÇÃO HIDROSANITÁRIA</v>
      </c>
      <c r="C13" s="32">
        <f>ORÇAMENTO!G68</f>
        <v>9247.07</v>
      </c>
      <c r="D13" s="30">
        <f t="shared" si="0"/>
        <v>9247.07</v>
      </c>
      <c r="E13" s="25">
        <f t="shared" si="1"/>
        <v>4.1041165704083227E-2</v>
      </c>
      <c r="F13" s="26">
        <f t="shared" si="2"/>
        <v>0</v>
      </c>
      <c r="G13" s="31"/>
      <c r="H13" s="26">
        <f t="shared" si="3"/>
        <v>7397.6559999999999</v>
      </c>
      <c r="I13" s="31">
        <v>0.8</v>
      </c>
      <c r="J13" s="26">
        <f t="shared" si="4"/>
        <v>1849.414</v>
      </c>
      <c r="K13" s="31">
        <v>0.2</v>
      </c>
      <c r="L13" s="26">
        <f t="shared" si="5"/>
        <v>0</v>
      </c>
      <c r="M13" s="31"/>
      <c r="N13" s="28">
        <f t="shared" si="6"/>
        <v>9247.07</v>
      </c>
      <c r="O13" s="29">
        <f t="shared" si="6"/>
        <v>1</v>
      </c>
    </row>
    <row r="14" spans="1:15" x14ac:dyDescent="0.25">
      <c r="A14" s="23">
        <v>9</v>
      </c>
      <c r="B14" s="24" t="str">
        <f>ORÇAMENTO!B69</f>
        <v>PREVENTIVO CONTRA INCÊNDIO</v>
      </c>
      <c r="C14" s="32">
        <f>ORÇAMENTO!G77</f>
        <v>12259.17</v>
      </c>
      <c r="D14" s="30">
        <f t="shared" si="0"/>
        <v>12259.17</v>
      </c>
      <c r="E14" s="25">
        <f t="shared" si="1"/>
        <v>5.4409734906789499E-2</v>
      </c>
      <c r="F14" s="26">
        <f t="shared" si="2"/>
        <v>0</v>
      </c>
      <c r="G14" s="31"/>
      <c r="H14" s="26">
        <f t="shared" si="3"/>
        <v>0</v>
      </c>
      <c r="I14" s="31"/>
      <c r="J14" s="26">
        <f t="shared" si="4"/>
        <v>0</v>
      </c>
      <c r="K14" s="31"/>
      <c r="L14" s="26">
        <f t="shared" si="5"/>
        <v>12259.17</v>
      </c>
      <c r="M14" s="31">
        <v>1</v>
      </c>
      <c r="N14" s="28">
        <f t="shared" si="6"/>
        <v>12259.17</v>
      </c>
      <c r="O14" s="29">
        <f t="shared" si="6"/>
        <v>1</v>
      </c>
    </row>
    <row r="15" spans="1:15" x14ac:dyDescent="0.25">
      <c r="A15" s="23">
        <v>10</v>
      </c>
      <c r="B15" s="24" t="str">
        <f>ORÇAMENTO!B78</f>
        <v>SERVIÇOS FINAIS</v>
      </c>
      <c r="C15" s="32">
        <f>ORÇAMENTO!G80</f>
        <v>1433.83</v>
      </c>
      <c r="D15" s="30">
        <f t="shared" si="0"/>
        <v>1433.83</v>
      </c>
      <c r="E15" s="25">
        <f t="shared" si="1"/>
        <v>6.3637513960082114E-3</v>
      </c>
      <c r="F15" s="26">
        <f t="shared" si="2"/>
        <v>0</v>
      </c>
      <c r="G15" s="31"/>
      <c r="H15" s="26">
        <f t="shared" si="3"/>
        <v>0</v>
      </c>
      <c r="I15" s="31"/>
      <c r="J15" s="26">
        <f t="shared" si="4"/>
        <v>0</v>
      </c>
      <c r="K15" s="31"/>
      <c r="L15" s="26">
        <f t="shared" si="5"/>
        <v>1433.83</v>
      </c>
      <c r="M15" s="31">
        <v>1</v>
      </c>
      <c r="N15" s="28">
        <f t="shared" si="6"/>
        <v>1433.83</v>
      </c>
      <c r="O15" s="29">
        <f t="shared" si="6"/>
        <v>1</v>
      </c>
    </row>
    <row r="16" spans="1:15" x14ac:dyDescent="0.25">
      <c r="A16" s="47"/>
      <c r="B16" s="46" t="s">
        <v>204</v>
      </c>
      <c r="C16" s="33">
        <f>SUM(C6:C15)</f>
        <v>225312.07</v>
      </c>
      <c r="D16" s="34">
        <f>SUM(D6:D15)</f>
        <v>225312.07</v>
      </c>
      <c r="E16" s="35">
        <f>SUM(E6:E15)</f>
        <v>1</v>
      </c>
      <c r="F16" s="36">
        <f>SUM(F6:F15)</f>
        <v>27025.878000000001</v>
      </c>
      <c r="G16" s="35">
        <f>F17/D16</f>
        <v>0.11994864722515754</v>
      </c>
      <c r="H16" s="34">
        <f>SUM(H6:H15)</f>
        <v>65636.97</v>
      </c>
      <c r="I16" s="35">
        <f>H16/D16</f>
        <v>0.29131581810064594</v>
      </c>
      <c r="J16" s="34">
        <f>SUM(J6:J15)</f>
        <v>67183.407000000007</v>
      </c>
      <c r="K16" s="35">
        <f>J16/D16</f>
        <v>0.29817935186517086</v>
      </c>
      <c r="L16" s="34">
        <f>SUM(L6:L15)</f>
        <v>65465.81500000001</v>
      </c>
      <c r="M16" s="35">
        <f>L16/D16</f>
        <v>0.29055618280902573</v>
      </c>
      <c r="N16" s="34">
        <f>SUM(N6:N15)</f>
        <v>225312.07</v>
      </c>
      <c r="O16" s="37"/>
    </row>
    <row r="17" spans="1:15" ht="15.75" thickBot="1" x14ac:dyDescent="0.3">
      <c r="A17" s="38"/>
      <c r="B17" s="39"/>
      <c r="C17" s="40"/>
      <c r="D17" s="41"/>
      <c r="E17" s="42"/>
      <c r="F17" s="43">
        <f>F16</f>
        <v>27025.878000000001</v>
      </c>
      <c r="G17" s="42">
        <f>SUM(G16)</f>
        <v>0.11994864722515754</v>
      </c>
      <c r="H17" s="41">
        <f>F17+H16</f>
        <v>92662.847999999998</v>
      </c>
      <c r="I17" s="42">
        <f>SUM(G17+I16)</f>
        <v>0.41126446532580346</v>
      </c>
      <c r="J17" s="41">
        <f>H17+J16</f>
        <v>159846.255</v>
      </c>
      <c r="K17" s="42">
        <f>SUM(I17+K16)</f>
        <v>0.70944381719097427</v>
      </c>
      <c r="L17" s="41">
        <f>J17+L16</f>
        <v>225312.07</v>
      </c>
      <c r="M17" s="42">
        <f>SUM(K17+M16)</f>
        <v>1</v>
      </c>
      <c r="N17" s="41"/>
      <c r="O17" s="44"/>
    </row>
    <row r="20" spans="1:15" x14ac:dyDescent="0.25">
      <c r="B20" s="63" t="s">
        <v>226</v>
      </c>
    </row>
    <row r="21" spans="1:15" x14ac:dyDescent="0.25">
      <c r="B21" s="62" t="s">
        <v>227</v>
      </c>
    </row>
  </sheetData>
  <mergeCells count="8">
    <mergeCell ref="J4:K4"/>
    <mergeCell ref="L4:M4"/>
    <mergeCell ref="A1:F1"/>
    <mergeCell ref="A4:A5"/>
    <mergeCell ref="B4:B5"/>
    <mergeCell ref="E4:E5"/>
    <mergeCell ref="F4:G4"/>
    <mergeCell ref="H4:I4"/>
  </mergeCells>
  <pageMargins left="0.51181102362204722" right="0.51181102362204722" top="0.78740157480314965" bottom="0.78740157480314965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ORÇAMENTO</vt:lpstr>
      <vt:lpstr>CRONOGRAMA</vt:lpstr>
      <vt:lpstr>ORÇAMENTO!Area_de_impressao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2015-05-20T02:08:57Z</cp:lastPrinted>
  <dcterms:created xsi:type="dcterms:W3CDTF">2015-04-20T02:41:05Z</dcterms:created>
  <dcterms:modified xsi:type="dcterms:W3CDTF">2015-06-02T14:51:12Z</dcterms:modified>
</cp:coreProperties>
</file>